
<file path=[Content_Types].xml><?xml version="1.0" encoding="utf-8"?>
<Types xmlns="http://schemas.openxmlformats.org/package/2006/content-types">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drawings/drawing19.xml" ContentType="application/vnd.openxmlformats-officedocument.drawingml.chartshapes+xml"/>
  <Override PartName="/xl/comments8.xml" ContentType="application/vnd.openxmlformats-officedocument.spreadsheetml.comments+xml"/>
  <Override PartName="/xl/worksheets/sheet7.xml" ContentType="application/vnd.openxmlformats-officedocument.spreadsheetml.worksheet+xml"/>
  <Override PartName="/xl/drawings/drawing4.xml" ContentType="application/vnd.openxmlformats-officedocument.drawing+xml"/>
  <Override PartName="/xl/charts/chart2.xml" ContentType="application/vnd.openxmlformats-officedocument.drawingml.chart+xml"/>
  <Override PartName="/xl/drawings/drawing17.xml" ContentType="application/vnd.openxmlformats-officedocument.drawingml.chartshapes+xml"/>
  <Override PartName="/xl/comments6.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drawings/drawing15.xml" ContentType="application/vnd.openxmlformats-officedocument.drawingml.chartshapes+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ml.chartshapes+xml"/>
  <Override PartName="/xl/drawings/drawing22.xml" ContentType="application/vnd.openxmlformats-officedocument.drawingml.chartshapes+xml"/>
  <Override PartName="/xl/charts/chart18.xml" ContentType="application/vnd.openxmlformats-officedocument.drawingml.chart+xml"/>
  <Override PartName="/xl/drawings/drawing24.xml" ContentType="application/vnd.openxmlformats-officedocument.drawingml.chartshap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ml.chartshapes+xml"/>
  <Override PartName="/xl/drawings/drawing12.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17.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ml.chartshape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ml.chartshapes+xml"/>
  <Override PartName="/xl/charts/chart7.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ml.chartshapes+xml"/>
  <Override PartName="/xl/charts/chart5.xml" ContentType="application/vnd.openxmlformats-officedocument.drawingml.chart+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Default Extension="jpeg" ContentType="image/jpeg"/>
  <Override PartName="/xl/drawings/drawing5.xml" ContentType="application/vnd.openxmlformats-officedocument.drawing+xml"/>
  <Override PartName="/xl/charts/chart3.xml" ContentType="application/vnd.openxmlformats-officedocument.drawingml.chart+xml"/>
  <Override PartName="/xl/drawings/drawing18.xml" ContentType="application/vnd.openxmlformats-officedocument.drawing+xml"/>
  <Override PartName="/xl/comments7.xml" ContentType="application/vnd.openxmlformats-officedocument.spreadsheetml.comments+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comments5.xml" ContentType="application/vnd.openxmlformats-officedocument.spreadsheetml.comments+xml"/>
  <Override PartName="/xl/drawings/drawing16.xml" ContentType="application/vnd.openxmlformats-officedocument.drawingml.chartshapes+xml"/>
  <Override PartName="/xl/drawings/drawing2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EstaPasta_de_trabalho"/>
  <bookViews>
    <workbookView xWindow="0" yWindow="0" windowWidth="15600" windowHeight="9045" tabRatio="706" activeTab="4"/>
  </bookViews>
  <sheets>
    <sheet name="CurTiPot" sheetId="15" r:id="rId1"/>
    <sheet name="   pH_calc   " sheetId="18" r:id="rId2"/>
    <sheet name="Titration" sheetId="22" r:id="rId3"/>
    <sheet name="Simulation" sheetId="20" r:id="rId4"/>
    <sheet name="Distribution" sheetId="21" r:id="rId5"/>
    <sheet name="Evaluation" sheetId="14" r:id="rId6"/>
    <sheet name="Regression" sheetId="5" r:id="rId7"/>
    <sheet name="Graphs" sheetId="8" r:id="rId8"/>
    <sheet name="Database" sheetId="19" r:id="rId9"/>
  </sheets>
  <definedNames>
    <definedName name="solver_adj" localSheetId="6" hidden="1">Regression!$I$18,Regression!$B$11:$C$11</definedName>
    <definedName name="solver_cvg" localSheetId="6" hidden="1">0.0000000001</definedName>
    <definedName name="solver_drv" localSheetId="6" hidden="1">2</definedName>
    <definedName name="solver_eng" localSheetId="6" hidden="1">1</definedName>
    <definedName name="solver_est" localSheetId="6" hidden="1">1</definedName>
    <definedName name="solver_itr" localSheetId="6" hidden="1">100</definedName>
    <definedName name="solver_lhs0" localSheetId="6" hidden="1">Regression!$O$18</definedName>
    <definedName name="solver_lhs1" localSheetId="6" hidden="1">Regression!$H$11</definedName>
    <definedName name="solver_lhs2" localSheetId="6" hidden="1">Regression!$H$11</definedName>
    <definedName name="solver_lhs3" localSheetId="6" hidden="1">Regression!$O$18</definedName>
    <definedName name="solver_lin" localSheetId="6" hidden="1">2</definedName>
    <definedName name="solver_mip" localSheetId="6" hidden="1">2147483647</definedName>
    <definedName name="solver_mni" localSheetId="6" hidden="1">30</definedName>
    <definedName name="solver_mrt" localSheetId="6" hidden="1">0.075</definedName>
    <definedName name="solver_msl" localSheetId="6" hidden="1">2</definedName>
    <definedName name="solver_neg" localSheetId="6" hidden="1">1</definedName>
    <definedName name="solver_nod" localSheetId="6" hidden="1">2147483647</definedName>
    <definedName name="solver_num" localSheetId="6" hidden="1">0</definedName>
    <definedName name="solver_nwt" localSheetId="6" hidden="1">1</definedName>
    <definedName name="solver_opt" localSheetId="6" hidden="1">Regression!$I$19</definedName>
    <definedName name="solver_pre" localSheetId="6" hidden="1">0.0000000001</definedName>
    <definedName name="solver_rbv" localSheetId="6" hidden="1">2</definedName>
    <definedName name="solver_rel0" localSheetId="6" hidden="1">1</definedName>
    <definedName name="solver_rel1" localSheetId="6" hidden="1">1</definedName>
    <definedName name="solver_rel2" localSheetId="6" hidden="1">3</definedName>
    <definedName name="solver_rel3" localSheetId="6" hidden="1">1</definedName>
    <definedName name="solver_rhs0" localSheetId="6" hidden="1">0.5</definedName>
    <definedName name="solver_rhs1" localSheetId="6" hidden="1">2</definedName>
    <definedName name="solver_rhs2" localSheetId="6" hidden="1">0</definedName>
    <definedName name="solver_rhs3" localSheetId="6" hidden="1">0.35</definedName>
    <definedName name="solver_rlx" localSheetId="6" hidden="1">2</definedName>
    <definedName name="solver_rsd" localSheetId="6" hidden="1">0</definedName>
    <definedName name="solver_scl" localSheetId="6" hidden="1">2</definedName>
    <definedName name="solver_sho" localSheetId="6" hidden="1">2</definedName>
    <definedName name="solver_ssz" localSheetId="6" hidden="1">100</definedName>
    <definedName name="solver_tim" localSheetId="6" hidden="1">30</definedName>
    <definedName name="solver_tol" localSheetId="6" hidden="1">0.00001</definedName>
    <definedName name="solver_typ" localSheetId="6" hidden="1">2</definedName>
    <definedName name="solver_val" localSheetId="6" hidden="1">0</definedName>
    <definedName name="solver_ver" localSheetId="6" hidden="1">3</definedName>
  </definedNames>
  <calcPr calcId="125725"/>
</workbook>
</file>

<file path=xl/calcChain.xml><?xml version="1.0" encoding="utf-8"?>
<calcChain xmlns="http://schemas.openxmlformats.org/spreadsheetml/2006/main">
  <c r="D112" i="5"/>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Q112"/>
  <c r="AR112"/>
  <c r="AU112"/>
  <c r="AW112"/>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Q113"/>
  <c r="AR113"/>
  <c r="AU113"/>
  <c r="AW113"/>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Q114"/>
  <c r="AR114"/>
  <c r="AU114"/>
  <c r="AW114"/>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P115"/>
  <c r="AQ115"/>
  <c r="AR115"/>
  <c r="AU115"/>
  <c r="AW115"/>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P116"/>
  <c r="AQ116"/>
  <c r="AR116"/>
  <c r="AU116"/>
  <c r="AW116"/>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Q117"/>
  <c r="AR117"/>
  <c r="AU117"/>
  <c r="AW117"/>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O118"/>
  <c r="AP118"/>
  <c r="AQ118"/>
  <c r="AR118"/>
  <c r="AU118"/>
  <c r="AW118"/>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P119"/>
  <c r="AQ119"/>
  <c r="AR119"/>
  <c r="AU119"/>
  <c r="AW119"/>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Q120"/>
  <c r="AR120"/>
  <c r="AU120"/>
  <c r="AW120"/>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Q121"/>
  <c r="AR121"/>
  <c r="AU121"/>
  <c r="AW121"/>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Q122"/>
  <c r="AR122"/>
  <c r="AU122"/>
  <c r="AW122"/>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P123"/>
  <c r="AQ123"/>
  <c r="AR123"/>
  <c r="AU123"/>
  <c r="AW123"/>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P124"/>
  <c r="AQ124"/>
  <c r="AR124"/>
  <c r="AU124"/>
  <c r="AW124"/>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Q125"/>
  <c r="AR125"/>
  <c r="AU125"/>
  <c r="AW125"/>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O126"/>
  <c r="AP126"/>
  <c r="AQ126"/>
  <c r="AR126"/>
  <c r="AU126"/>
  <c r="AW126"/>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O127"/>
  <c r="AP127"/>
  <c r="AQ127"/>
  <c r="AR127"/>
  <c r="AU127"/>
  <c r="AW127"/>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Q128"/>
  <c r="AR128"/>
  <c r="AU128"/>
  <c r="AW128"/>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Q129"/>
  <c r="AR129"/>
  <c r="AU129"/>
  <c r="AW129"/>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Q130"/>
  <c r="AR130"/>
  <c r="AU130"/>
  <c r="AW130"/>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P131"/>
  <c r="AQ131"/>
  <c r="AR131"/>
  <c r="AU131"/>
  <c r="AW131"/>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P132"/>
  <c r="AQ132"/>
  <c r="AR132"/>
  <c r="AU132"/>
  <c r="AW132"/>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Q133"/>
  <c r="AR133"/>
  <c r="AU133"/>
  <c r="AW133"/>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O134"/>
  <c r="AP134"/>
  <c r="AQ134"/>
  <c r="AR134"/>
  <c r="AU134"/>
  <c r="AW134"/>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P135"/>
  <c r="AQ135"/>
  <c r="AR135"/>
  <c r="AU135"/>
  <c r="AW135"/>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Q136"/>
  <c r="AR136"/>
  <c r="AU136"/>
  <c r="AW136"/>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Q137"/>
  <c r="AR137"/>
  <c r="AU137"/>
  <c r="AW137"/>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Q138"/>
  <c r="AR138"/>
  <c r="AU138"/>
  <c r="AW138"/>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P139"/>
  <c r="AQ139"/>
  <c r="AR139"/>
  <c r="AU139"/>
  <c r="AW139"/>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P140"/>
  <c r="AQ140"/>
  <c r="AR140"/>
  <c r="AU140"/>
  <c r="AW140"/>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Q141"/>
  <c r="AR141"/>
  <c r="AU141"/>
  <c r="AW141"/>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O142"/>
  <c r="AP142"/>
  <c r="AQ142"/>
  <c r="AR142"/>
  <c r="AU142"/>
  <c r="AW142"/>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O143"/>
  <c r="AP143"/>
  <c r="AQ143"/>
  <c r="AR143"/>
  <c r="AU143"/>
  <c r="AW143"/>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Q144"/>
  <c r="AR144"/>
  <c r="AU144"/>
  <c r="AW144"/>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Q145"/>
  <c r="AR145"/>
  <c r="AU145"/>
  <c r="AW145"/>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Q146"/>
  <c r="AR146"/>
  <c r="AU146"/>
  <c r="AW146"/>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P147"/>
  <c r="AQ147"/>
  <c r="AR147"/>
  <c r="AU147"/>
  <c r="AW147"/>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P148"/>
  <c r="AQ148"/>
  <c r="AR148"/>
  <c r="AU148"/>
  <c r="AW148"/>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Q149"/>
  <c r="AR149"/>
  <c r="AU149"/>
  <c r="AW149"/>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O150"/>
  <c r="AP150"/>
  <c r="AQ150"/>
  <c r="AR150"/>
  <c r="AU150"/>
  <c r="AW150"/>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P151"/>
  <c r="AQ151"/>
  <c r="AR151"/>
  <c r="AU151"/>
  <c r="AW151"/>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Q152"/>
  <c r="AR152"/>
  <c r="AU152"/>
  <c r="AW152"/>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Q153"/>
  <c r="AR153"/>
  <c r="AU153"/>
  <c r="AW153"/>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Q154"/>
  <c r="AR154"/>
  <c r="AU154"/>
  <c r="AW154"/>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P155"/>
  <c r="AQ155"/>
  <c r="AR155"/>
  <c r="AU155"/>
  <c r="AW155"/>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P156"/>
  <c r="AQ156"/>
  <c r="AR156"/>
  <c r="AU156"/>
  <c r="AW156"/>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Q157"/>
  <c r="AR157"/>
  <c r="AU157"/>
  <c r="AW157"/>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O158"/>
  <c r="AP158"/>
  <c r="AQ158"/>
  <c r="AR158"/>
  <c r="AU158"/>
  <c r="AW158"/>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O159"/>
  <c r="AP159"/>
  <c r="AQ159"/>
  <c r="AR159"/>
  <c r="AU159"/>
  <c r="AW159"/>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Q160"/>
  <c r="AR160"/>
  <c r="AU160"/>
  <c r="AW160"/>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Q161"/>
  <c r="AR161"/>
  <c r="AU161"/>
  <c r="AW161"/>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Q162"/>
  <c r="AR162"/>
  <c r="AU162"/>
  <c r="AW162"/>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P163"/>
  <c r="AQ163"/>
  <c r="AR163"/>
  <c r="AU163"/>
  <c r="AW163"/>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P164"/>
  <c r="AQ164"/>
  <c r="AR164"/>
  <c r="AU164"/>
  <c r="AW164"/>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Q165"/>
  <c r="AR165"/>
  <c r="AU165"/>
  <c r="AW165"/>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O166"/>
  <c r="AP166"/>
  <c r="AQ166"/>
  <c r="AR166"/>
  <c r="AU166"/>
  <c r="AW166"/>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P167"/>
  <c r="AQ167"/>
  <c r="AR167"/>
  <c r="AU167"/>
  <c r="AW167"/>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Q168"/>
  <c r="AR168"/>
  <c r="AU168"/>
  <c r="AW168"/>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Q169"/>
  <c r="AR169"/>
  <c r="AU169"/>
  <c r="AW169"/>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Q170"/>
  <c r="AR170"/>
  <c r="AU170"/>
  <c r="AW170"/>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P171"/>
  <c r="AQ171"/>
  <c r="AR171"/>
  <c r="AU171"/>
  <c r="AW171"/>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P172"/>
  <c r="AQ172"/>
  <c r="AR172"/>
  <c r="AU172"/>
  <c r="AW172"/>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Q173"/>
  <c r="AR173"/>
  <c r="AU173"/>
  <c r="AW173"/>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O174"/>
  <c r="AP174"/>
  <c r="AQ174"/>
  <c r="AR174"/>
  <c r="AU174"/>
  <c r="AW174"/>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O175"/>
  <c r="AP175"/>
  <c r="AQ175"/>
  <c r="AR175"/>
  <c r="AU175"/>
  <c r="AW175"/>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Q176"/>
  <c r="AR176"/>
  <c r="AU176"/>
  <c r="AW176"/>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Q177"/>
  <c r="AR177"/>
  <c r="AU177"/>
  <c r="AW177"/>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Q178"/>
  <c r="AR178"/>
  <c r="AU178"/>
  <c r="AW178"/>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P179"/>
  <c r="AQ179"/>
  <c r="AR179"/>
  <c r="AU179"/>
  <c r="AW179"/>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P180"/>
  <c r="AQ180"/>
  <c r="AR180"/>
  <c r="AU180"/>
  <c r="AW180"/>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Q181"/>
  <c r="AR181"/>
  <c r="AU181"/>
  <c r="AW181"/>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O182"/>
  <c r="AP182"/>
  <c r="AQ182"/>
  <c r="AR182"/>
  <c r="AU182"/>
  <c r="AW182"/>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P183"/>
  <c r="AQ183"/>
  <c r="AR183"/>
  <c r="AU183"/>
  <c r="AW183"/>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Q184"/>
  <c r="AR184"/>
  <c r="AU184"/>
  <c r="AW184"/>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Q185"/>
  <c r="AR185"/>
  <c r="AU185"/>
  <c r="AW185"/>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Q186"/>
  <c r="AR186"/>
  <c r="AU186"/>
  <c r="AW186"/>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P187"/>
  <c r="AQ187"/>
  <c r="AR187"/>
  <c r="AU187"/>
  <c r="AW187"/>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P188"/>
  <c r="AQ188"/>
  <c r="AR188"/>
  <c r="AU188"/>
  <c r="AW188"/>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Q189"/>
  <c r="AR189"/>
  <c r="AU189"/>
  <c r="AW189"/>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O190"/>
  <c r="AP190"/>
  <c r="AQ190"/>
  <c r="AR190"/>
  <c r="AU190"/>
  <c r="AW190"/>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O191"/>
  <c r="AP191"/>
  <c r="AQ191"/>
  <c r="AR191"/>
  <c r="AU191"/>
  <c r="AW191"/>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Q192"/>
  <c r="AR192"/>
  <c r="AU192"/>
  <c r="AW192"/>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Q193"/>
  <c r="AR193"/>
  <c r="AU193"/>
  <c r="AW193"/>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Q194"/>
  <c r="AR194"/>
  <c r="AU194"/>
  <c r="AW194"/>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P195"/>
  <c r="AQ195"/>
  <c r="AR195"/>
  <c r="AU195"/>
  <c r="AW195"/>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P196"/>
  <c r="AQ196"/>
  <c r="AR196"/>
  <c r="AU196"/>
  <c r="AW196"/>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Q197"/>
  <c r="AR197"/>
  <c r="AU197"/>
  <c r="AW197"/>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O198"/>
  <c r="AP198"/>
  <c r="AQ198"/>
  <c r="AR198"/>
  <c r="AU198"/>
  <c r="AW198"/>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P199"/>
  <c r="AQ199"/>
  <c r="AR199"/>
  <c r="AU199"/>
  <c r="AW199"/>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Q200"/>
  <c r="AR200"/>
  <c r="AU200"/>
  <c r="AW200"/>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Q201"/>
  <c r="AR201"/>
  <c r="AU201"/>
  <c r="AW201"/>
  <c r="AW66"/>
  <c r="S26"/>
  <c r="J15"/>
  <c r="T4" i="18"/>
  <c r="U4"/>
  <c r="V4"/>
  <c r="W4"/>
  <c r="X4"/>
  <c r="Y4"/>
  <c r="S4"/>
  <c r="AC4" i="22"/>
  <c r="AD4"/>
  <c r="AE4"/>
  <c r="W4" i="5"/>
  <c r="X4"/>
  <c r="Y4"/>
  <c r="Z4"/>
  <c r="AA4"/>
  <c r="AB4"/>
  <c r="AC4"/>
  <c r="AD4"/>
  <c r="AE4"/>
  <c r="V4"/>
  <c r="AD5" i="20"/>
  <c r="AC5"/>
  <c r="AC4"/>
  <c r="AD4"/>
  <c r="AE4"/>
  <c r="E6" i="5"/>
  <c r="F6"/>
  <c r="H6"/>
  <c r="C7"/>
  <c r="D7"/>
  <c r="E7"/>
  <c r="F7"/>
  <c r="G7"/>
  <c r="H7"/>
  <c r="C8"/>
  <c r="D8"/>
  <c r="E8"/>
  <c r="F8"/>
  <c r="G8"/>
  <c r="H8"/>
  <c r="C9"/>
  <c r="D9"/>
  <c r="E9"/>
  <c r="F9"/>
  <c r="G9"/>
  <c r="H9"/>
  <c r="C10"/>
  <c r="D10"/>
  <c r="E10"/>
  <c r="F10"/>
  <c r="G10"/>
  <c r="H10"/>
  <c r="B10"/>
  <c r="B9"/>
  <c r="B8"/>
  <c r="E41"/>
  <c r="B11" i="21"/>
  <c r="G5" i="8"/>
  <c r="G4"/>
  <c r="C5"/>
  <c r="C4"/>
  <c r="C3"/>
  <c r="G3"/>
  <c r="E43" i="5"/>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42"/>
  <c r="E10" i="21"/>
  <c r="G12"/>
  <c r="H3"/>
  <c r="H10"/>
  <c r="H11"/>
  <c r="B10"/>
  <c r="B14" i="20"/>
  <c r="C14"/>
  <c r="D14"/>
  <c r="D13" i="22"/>
  <c r="C13"/>
  <c r="B13"/>
  <c r="B16" i="18"/>
  <c r="I16" s="1"/>
  <c r="F91" i="5"/>
  <c r="AW42"/>
  <c r="AW43"/>
  <c r="AW44"/>
  <c r="AW45"/>
  <c r="AW46"/>
  <c r="AW47"/>
  <c r="AW48"/>
  <c r="AW49"/>
  <c r="AW50"/>
  <c r="AW51"/>
  <c r="AW52"/>
  <c r="AW53"/>
  <c r="AW54"/>
  <c r="AW55"/>
  <c r="AW56"/>
  <c r="AW57"/>
  <c r="AW58"/>
  <c r="AW59"/>
  <c r="AW60"/>
  <c r="AW61"/>
  <c r="AW62"/>
  <c r="AW63"/>
  <c r="AW64"/>
  <c r="AW65"/>
  <c r="AW67"/>
  <c r="AW68"/>
  <c r="AW69"/>
  <c r="AW70"/>
  <c r="AW71"/>
  <c r="AW72"/>
  <c r="AW73"/>
  <c r="AW74"/>
  <c r="AW75"/>
  <c r="AW76"/>
  <c r="AW77"/>
  <c r="AW78"/>
  <c r="AW79"/>
  <c r="AW80"/>
  <c r="AW81"/>
  <c r="AW82"/>
  <c r="AW83"/>
  <c r="AW84"/>
  <c r="AW85"/>
  <c r="AW86"/>
  <c r="AW87"/>
  <c r="AW88"/>
  <c r="AW89"/>
  <c r="AW90"/>
  <c r="AW91"/>
  <c r="AU92"/>
  <c r="AW92"/>
  <c r="AU93"/>
  <c r="AW93"/>
  <c r="AU94"/>
  <c r="AW94"/>
  <c r="AU95"/>
  <c r="AW95"/>
  <c r="AU96"/>
  <c r="AW96"/>
  <c r="AU97"/>
  <c r="AW97"/>
  <c r="AU98"/>
  <c r="AW98"/>
  <c r="AU99"/>
  <c r="AW99"/>
  <c r="AU100"/>
  <c r="AW100"/>
  <c r="AU101"/>
  <c r="AW101"/>
  <c r="AU102"/>
  <c r="AW102"/>
  <c r="AU103"/>
  <c r="AW103"/>
  <c r="AU104"/>
  <c r="AW104"/>
  <c r="AU105"/>
  <c r="AW105"/>
  <c r="AU106"/>
  <c r="AW106"/>
  <c r="AU107"/>
  <c r="AW107"/>
  <c r="AU108"/>
  <c r="AW108"/>
  <c r="AU109"/>
  <c r="AW109"/>
  <c r="AU110"/>
  <c r="AW110"/>
  <c r="AU111"/>
  <c r="AW111"/>
  <c r="AW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2"/>
  <c r="F93"/>
  <c r="F94"/>
  <c r="F95"/>
  <c r="F96"/>
  <c r="F97"/>
  <c r="F98"/>
  <c r="F99"/>
  <c r="F100"/>
  <c r="F101"/>
  <c r="F102"/>
  <c r="F103"/>
  <c r="F104"/>
  <c r="F105"/>
  <c r="F106"/>
  <c r="F107"/>
  <c r="F108"/>
  <c r="F109"/>
  <c r="F110"/>
  <c r="F111"/>
  <c r="F41"/>
  <c r="D20" i="20"/>
  <c r="C20"/>
  <c r="B20"/>
  <c r="E20" s="1"/>
  <c r="J19" s="1"/>
  <c r="L19" s="1"/>
  <c r="AG11" i="22"/>
  <c r="AH11"/>
  <c r="AI11"/>
  <c r="AG12"/>
  <c r="AH12"/>
  <c r="AI12"/>
  <c r="AG13"/>
  <c r="AH13"/>
  <c r="AI13"/>
  <c r="AG14"/>
  <c r="AH14"/>
  <c r="AI14"/>
  <c r="AK11"/>
  <c r="AL11"/>
  <c r="AM11"/>
  <c r="AK12"/>
  <c r="AL12"/>
  <c r="AM12"/>
  <c r="AK13"/>
  <c r="AL13"/>
  <c r="AM13"/>
  <c r="AK14"/>
  <c r="AL14"/>
  <c r="AM14"/>
  <c r="AJ14"/>
  <c r="AJ13"/>
  <c r="AJ12"/>
  <c r="AJ11"/>
  <c r="R40"/>
  <c r="Q40"/>
  <c r="P40"/>
  <c r="O40"/>
  <c r="N40"/>
  <c r="M40"/>
  <c r="L40"/>
  <c r="K40"/>
  <c r="J40"/>
  <c r="I40"/>
  <c r="B33"/>
  <c r="B31"/>
  <c r="D39" i="20"/>
  <c r="B39"/>
  <c r="L14"/>
  <c r="K14"/>
  <c r="H13"/>
  <c r="G13"/>
  <c r="F13"/>
  <c r="E13"/>
  <c r="D13"/>
  <c r="C13"/>
  <c r="B13"/>
  <c r="I13"/>
  <c r="J20"/>
  <c r="L20" s="1"/>
  <c r="E35" i="22"/>
  <c r="E34"/>
  <c r="E33"/>
  <c r="E32"/>
  <c r="E31"/>
  <c r="D35"/>
  <c r="D34"/>
  <c r="D33"/>
  <c r="D32"/>
  <c r="V11"/>
  <c r="AB10"/>
  <c r="AA10"/>
  <c r="Z10"/>
  <c r="Y10"/>
  <c r="X10"/>
  <c r="W10"/>
  <c r="V10"/>
  <c r="AB9"/>
  <c r="AA9"/>
  <c r="Z9"/>
  <c r="Y9"/>
  <c r="X9"/>
  <c r="W9"/>
  <c r="V9"/>
  <c r="AB8"/>
  <c r="AA8"/>
  <c r="Z8"/>
  <c r="Y8"/>
  <c r="X8"/>
  <c r="W8"/>
  <c r="V8"/>
  <c r="AB7"/>
  <c r="AA7"/>
  <c r="Z7"/>
  <c r="X7"/>
  <c r="W7"/>
  <c r="V7"/>
  <c r="AD6"/>
  <c r="AC6"/>
  <c r="AA6"/>
  <c r="X6"/>
  <c r="V6"/>
  <c r="AE5"/>
  <c r="AE6"/>
  <c r="AD5"/>
  <c r="AC5"/>
  <c r="AB5"/>
  <c r="AB6" s="1"/>
  <c r="AA5"/>
  <c r="Z5"/>
  <c r="Z6"/>
  <c r="Y5"/>
  <c r="Y6" s="1"/>
  <c r="Y7"/>
  <c r="X5"/>
  <c r="W5"/>
  <c r="W6"/>
  <c r="V5"/>
  <c r="AB4"/>
  <c r="AA4"/>
  <c r="Z4"/>
  <c r="Y4"/>
  <c r="X4"/>
  <c r="W4"/>
  <c r="V4"/>
  <c r="AE3"/>
  <c r="AD3"/>
  <c r="AC3"/>
  <c r="AB3"/>
  <c r="AA3"/>
  <c r="Z3"/>
  <c r="Y3"/>
  <c r="X3"/>
  <c r="W3"/>
  <c r="V3"/>
  <c r="H16"/>
  <c r="D18"/>
  <c r="C18"/>
  <c r="B18"/>
  <c r="D17"/>
  <c r="C17"/>
  <c r="B17"/>
  <c r="H12"/>
  <c r="G12"/>
  <c r="F12"/>
  <c r="E12"/>
  <c r="D12"/>
  <c r="C12"/>
  <c r="B12"/>
  <c r="H11"/>
  <c r="G11"/>
  <c r="F11"/>
  <c r="E11"/>
  <c r="D11"/>
  <c r="C11"/>
  <c r="B11"/>
  <c r="H3"/>
  <c r="G3"/>
  <c r="F3"/>
  <c r="E3"/>
  <c r="D3"/>
  <c r="C3"/>
  <c r="B3"/>
  <c r="AM10"/>
  <c r="AL10"/>
  <c r="AK10"/>
  <c r="AJ10"/>
  <c r="AI10"/>
  <c r="AH10"/>
  <c r="AG10"/>
  <c r="AM9"/>
  <c r="AL9"/>
  <c r="AK9"/>
  <c r="AJ9"/>
  <c r="AI9"/>
  <c r="AH9"/>
  <c r="AG9"/>
  <c r="AM8"/>
  <c r="AL8"/>
  <c r="AK8"/>
  <c r="AJ8"/>
  <c r="AI8"/>
  <c r="AH8"/>
  <c r="AG8"/>
  <c r="AM7"/>
  <c r="AL7"/>
  <c r="AK7"/>
  <c r="AJ7"/>
  <c r="AI7"/>
  <c r="AH7"/>
  <c r="AG7"/>
  <c r="AM6"/>
  <c r="AL6"/>
  <c r="AK6"/>
  <c r="AJ6"/>
  <c r="AI6"/>
  <c r="AH6"/>
  <c r="AG6"/>
  <c r="AM5"/>
  <c r="AL5"/>
  <c r="AK5"/>
  <c r="AJ5"/>
  <c r="AI5"/>
  <c r="AH5"/>
  <c r="AG5"/>
  <c r="AM4"/>
  <c r="AL4"/>
  <c r="AK4"/>
  <c r="AJ4"/>
  <c r="AI4"/>
  <c r="AH4"/>
  <c r="AG4"/>
  <c r="AM3"/>
  <c r="AL3"/>
  <c r="AK3"/>
  <c r="AJ3"/>
  <c r="AI3"/>
  <c r="AH3"/>
  <c r="AG3"/>
  <c r="E17"/>
  <c r="B32"/>
  <c r="C20"/>
  <c r="S37" i="14"/>
  <c r="R37"/>
  <c r="Q37"/>
  <c r="S36"/>
  <c r="R36"/>
  <c r="Q36"/>
  <c r="S35"/>
  <c r="R35"/>
  <c r="Q35"/>
  <c r="S34"/>
  <c r="R34"/>
  <c r="Q34"/>
  <c r="S33"/>
  <c r="R33"/>
  <c r="Q33"/>
  <c r="S32"/>
  <c r="R32"/>
  <c r="Q32"/>
  <c r="S31"/>
  <c r="R31"/>
  <c r="Q31"/>
  <c r="S30"/>
  <c r="R30"/>
  <c r="Q30"/>
  <c r="Q29"/>
  <c r="Q28"/>
  <c r="R28" s="1"/>
  <c r="S28" s="1"/>
  <c r="AJ92" i="5"/>
  <c r="AK92"/>
  <c r="AJ93"/>
  <c r="AK93"/>
  <c r="AJ94"/>
  <c r="AK94"/>
  <c r="AJ95"/>
  <c r="AK95"/>
  <c r="AJ96"/>
  <c r="AK96"/>
  <c r="AJ97"/>
  <c r="AK97"/>
  <c r="AJ98"/>
  <c r="AK98"/>
  <c r="AJ99"/>
  <c r="AK99"/>
  <c r="AJ100"/>
  <c r="AK100"/>
  <c r="AJ101"/>
  <c r="AK101"/>
  <c r="AJ102"/>
  <c r="AK102"/>
  <c r="AJ103"/>
  <c r="AK103"/>
  <c r="AJ104"/>
  <c r="AK104"/>
  <c r="AJ105"/>
  <c r="AK105"/>
  <c r="AJ106"/>
  <c r="AK106"/>
  <c r="AJ107"/>
  <c r="AK107"/>
  <c r="AJ108"/>
  <c r="AK108"/>
  <c r="AJ109"/>
  <c r="AK109"/>
  <c r="AJ110"/>
  <c r="AK110"/>
  <c r="AJ111"/>
  <c r="AK111"/>
  <c r="W22" i="18"/>
  <c r="AB12"/>
  <c r="AC12"/>
  <c r="AD12"/>
  <c r="AE12"/>
  <c r="AF12"/>
  <c r="AG12"/>
  <c r="AB11"/>
  <c r="AC11"/>
  <c r="AD11"/>
  <c r="AE11"/>
  <c r="AF11"/>
  <c r="AG11"/>
  <c r="AA12"/>
  <c r="AA11"/>
  <c r="G28"/>
  <c r="E4" i="21"/>
  <c r="E9"/>
  <c r="G9" s="1"/>
  <c r="H9" s="1"/>
  <c r="H51" i="18"/>
  <c r="G51"/>
  <c r="F51"/>
  <c r="E51"/>
  <c r="D51"/>
  <c r="C51"/>
  <c r="B51"/>
  <c r="H43"/>
  <c r="G43"/>
  <c r="F43"/>
  <c r="E43"/>
  <c r="D43"/>
  <c r="C43"/>
  <c r="B43"/>
  <c r="Q42"/>
  <c r="P42"/>
  <c r="O42"/>
  <c r="N42"/>
  <c r="M42"/>
  <c r="L42"/>
  <c r="K42"/>
  <c r="H42"/>
  <c r="F42"/>
  <c r="H41"/>
  <c r="G41"/>
  <c r="F41"/>
  <c r="E41"/>
  <c r="D41"/>
  <c r="C41"/>
  <c r="B41"/>
  <c r="I37"/>
  <c r="I34"/>
  <c r="Q33"/>
  <c r="P33"/>
  <c r="O33"/>
  <c r="N33"/>
  <c r="M33"/>
  <c r="L33"/>
  <c r="K33"/>
  <c r="H33"/>
  <c r="G33"/>
  <c r="F33"/>
  <c r="E33"/>
  <c r="D33"/>
  <c r="C33"/>
  <c r="B33"/>
  <c r="Q32"/>
  <c r="O32"/>
  <c r="H29"/>
  <c r="G29"/>
  <c r="F29"/>
  <c r="E29"/>
  <c r="D29"/>
  <c r="C29"/>
  <c r="B29"/>
  <c r="Y24"/>
  <c r="X24"/>
  <c r="W24"/>
  <c r="V24"/>
  <c r="U24"/>
  <c r="T24"/>
  <c r="S24"/>
  <c r="Q24"/>
  <c r="P24"/>
  <c r="O24"/>
  <c r="N24"/>
  <c r="M24"/>
  <c r="L24"/>
  <c r="K24"/>
  <c r="Y23"/>
  <c r="X23"/>
  <c r="W23"/>
  <c r="V23"/>
  <c r="U23"/>
  <c r="T23"/>
  <c r="S23"/>
  <c r="Q23"/>
  <c r="P23"/>
  <c r="O23"/>
  <c r="N23"/>
  <c r="M23"/>
  <c r="L23"/>
  <c r="K23"/>
  <c r="M22"/>
  <c r="R40" i="20"/>
  <c r="T14" i="5"/>
  <c r="B3"/>
  <c r="C3"/>
  <c r="D3"/>
  <c r="E3"/>
  <c r="F3"/>
  <c r="G3"/>
  <c r="H3"/>
  <c r="V3"/>
  <c r="W3"/>
  <c r="X3"/>
  <c r="Y3"/>
  <c r="Z3"/>
  <c r="AA3"/>
  <c r="AB3"/>
  <c r="AC3"/>
  <c r="AD3"/>
  <c r="AE3"/>
  <c r="AG3"/>
  <c r="AH3"/>
  <c r="AI3"/>
  <c r="AJ3"/>
  <c r="AK3"/>
  <c r="AL3"/>
  <c r="AM3"/>
  <c r="AG4"/>
  <c r="AH4"/>
  <c r="AI4"/>
  <c r="AJ4"/>
  <c r="AK4"/>
  <c r="AL4"/>
  <c r="AM4"/>
  <c r="V5"/>
  <c r="V6"/>
  <c r="W5"/>
  <c r="W6" s="1"/>
  <c r="X5"/>
  <c r="Y5"/>
  <c r="Y6"/>
  <c r="Y7"/>
  <c r="Y8"/>
  <c r="Y9"/>
  <c r="Y10"/>
  <c r="Z5"/>
  <c r="Z6"/>
  <c r="Z7"/>
  <c r="AA5"/>
  <c r="AA6"/>
  <c r="AB5"/>
  <c r="AC5"/>
  <c r="AD5"/>
  <c r="U96" s="1"/>
  <c r="AE5"/>
  <c r="AG5"/>
  <c r="AH5"/>
  <c r="AI5"/>
  <c r="AJ5"/>
  <c r="AK5"/>
  <c r="AL5"/>
  <c r="AM5"/>
  <c r="AB6"/>
  <c r="AC6"/>
  <c r="AD6"/>
  <c r="AG6"/>
  <c r="AH6"/>
  <c r="AI6"/>
  <c r="AJ6"/>
  <c r="AK6"/>
  <c r="AL6"/>
  <c r="AM6"/>
  <c r="X7"/>
  <c r="AA7"/>
  <c r="AB7"/>
  <c r="AG7"/>
  <c r="AH7"/>
  <c r="AI7"/>
  <c r="AJ7"/>
  <c r="AK7"/>
  <c r="AL7"/>
  <c r="AM7"/>
  <c r="V8"/>
  <c r="W8"/>
  <c r="X8"/>
  <c r="Z8"/>
  <c r="Q54" s="1"/>
  <c r="AA8"/>
  <c r="AB8"/>
  <c r="AG8"/>
  <c r="AH8"/>
  <c r="AI8"/>
  <c r="AJ8"/>
  <c r="AK8"/>
  <c r="AL8"/>
  <c r="AM8"/>
  <c r="V9"/>
  <c r="W9"/>
  <c r="X9"/>
  <c r="Z9"/>
  <c r="AA9"/>
  <c r="AB9"/>
  <c r="AC9"/>
  <c r="AG9"/>
  <c r="AH9"/>
  <c r="AI9"/>
  <c r="AJ9"/>
  <c r="AK9"/>
  <c r="AL9"/>
  <c r="AM9"/>
  <c r="V10"/>
  <c r="W10"/>
  <c r="X10"/>
  <c r="Z10"/>
  <c r="AA10"/>
  <c r="AB10"/>
  <c r="AG10"/>
  <c r="AH10"/>
  <c r="AI10"/>
  <c r="AJ10"/>
  <c r="AK10"/>
  <c r="AL10"/>
  <c r="AM10"/>
  <c r="I11"/>
  <c r="AB13"/>
  <c r="B14"/>
  <c r="C14"/>
  <c r="D14"/>
  <c r="S14"/>
  <c r="X14"/>
  <c r="AA14"/>
  <c r="AB14"/>
  <c r="T18"/>
  <c r="V15"/>
  <c r="W15"/>
  <c r="X15"/>
  <c r="Z15"/>
  <c r="AA15"/>
  <c r="AB15"/>
  <c r="G16"/>
  <c r="L72"/>
  <c r="V16"/>
  <c r="W16"/>
  <c r="X16"/>
  <c r="Z16"/>
  <c r="AA16"/>
  <c r="AB16"/>
  <c r="V17"/>
  <c r="W17"/>
  <c r="X17"/>
  <c r="Z17"/>
  <c r="AA17"/>
  <c r="AB17"/>
  <c r="B18"/>
  <c r="AN116" s="1"/>
  <c r="C18"/>
  <c r="AO113" s="1"/>
  <c r="D18"/>
  <c r="AP112" s="1"/>
  <c r="B19"/>
  <c r="E19" s="1"/>
  <c r="C19"/>
  <c r="D19"/>
  <c r="T19"/>
  <c r="M40"/>
  <c r="N40"/>
  <c r="O40"/>
  <c r="P40"/>
  <c r="Q40"/>
  <c r="R40"/>
  <c r="S40"/>
  <c r="T40"/>
  <c r="U40"/>
  <c r="V40"/>
  <c r="W40"/>
  <c r="X40"/>
  <c r="Y40"/>
  <c r="Z40"/>
  <c r="AA40"/>
  <c r="AB40"/>
  <c r="AC40"/>
  <c r="AD40"/>
  <c r="AE40"/>
  <c r="AF40"/>
  <c r="AG40"/>
  <c r="AH40"/>
  <c r="AI40"/>
  <c r="AJ40"/>
  <c r="AK40"/>
  <c r="AL40"/>
  <c r="AM40"/>
  <c r="AN40"/>
  <c r="AO40"/>
  <c r="AP40"/>
  <c r="E5" i="21"/>
  <c r="E6"/>
  <c r="E7"/>
  <c r="G7" s="1"/>
  <c r="H7" s="1"/>
  <c r="E8"/>
  <c r="G8" s="1"/>
  <c r="H8" s="1"/>
  <c r="B3" i="20"/>
  <c r="C3"/>
  <c r="D3"/>
  <c r="E3"/>
  <c r="F3"/>
  <c r="G3"/>
  <c r="H3"/>
  <c r="V3"/>
  <c r="W3"/>
  <c r="X3"/>
  <c r="Y3"/>
  <c r="Z3"/>
  <c r="AA3"/>
  <c r="AB3"/>
  <c r="AC3"/>
  <c r="AD3"/>
  <c r="AE3"/>
  <c r="AG3"/>
  <c r="AH3"/>
  <c r="AI3"/>
  <c r="AJ3"/>
  <c r="AK3"/>
  <c r="AL3"/>
  <c r="AM3"/>
  <c r="V4"/>
  <c r="W4"/>
  <c r="X4"/>
  <c r="Y4"/>
  <c r="Z4"/>
  <c r="AA4"/>
  <c r="AB4"/>
  <c r="AG4"/>
  <c r="AH4"/>
  <c r="AI4"/>
  <c r="AJ4"/>
  <c r="AK4"/>
  <c r="AL4"/>
  <c r="AM4"/>
  <c r="V5"/>
  <c r="V6" s="1"/>
  <c r="V7" s="1"/>
  <c r="V8" s="1"/>
  <c r="V9" s="1"/>
  <c r="V10" s="1"/>
  <c r="W5"/>
  <c r="W6"/>
  <c r="W7" s="1"/>
  <c r="X5"/>
  <c r="X6" s="1"/>
  <c r="X7" s="1"/>
  <c r="Y5"/>
  <c r="Z5"/>
  <c r="AA5"/>
  <c r="AB5"/>
  <c r="AB6" s="1"/>
  <c r="AE5"/>
  <c r="AE6" s="1"/>
  <c r="AG5"/>
  <c r="AH5"/>
  <c r="AI5"/>
  <c r="AJ5"/>
  <c r="AK5"/>
  <c r="AL5"/>
  <c r="AM5"/>
  <c r="Y6"/>
  <c r="Z6"/>
  <c r="AA6"/>
  <c r="AC6"/>
  <c r="AD6"/>
  <c r="AG6"/>
  <c r="AH6"/>
  <c r="AI6"/>
  <c r="AJ6"/>
  <c r="AK6"/>
  <c r="AL6"/>
  <c r="AM6"/>
  <c r="Y7"/>
  <c r="Z7"/>
  <c r="AA7"/>
  <c r="AB7"/>
  <c r="AG7"/>
  <c r="AH7"/>
  <c r="AI7"/>
  <c r="AJ7"/>
  <c r="AK7"/>
  <c r="AL7"/>
  <c r="AM7"/>
  <c r="W8"/>
  <c r="W9"/>
  <c r="X8"/>
  <c r="Y8"/>
  <c r="Z8"/>
  <c r="AA8"/>
  <c r="AB8"/>
  <c r="AG8"/>
  <c r="AH8"/>
  <c r="AI8"/>
  <c r="AJ8"/>
  <c r="AK8"/>
  <c r="AL8"/>
  <c r="AM8"/>
  <c r="X9"/>
  <c r="Y9"/>
  <c r="Z9"/>
  <c r="AA9"/>
  <c r="AB9"/>
  <c r="AG9"/>
  <c r="AH9"/>
  <c r="AI9"/>
  <c r="AJ9"/>
  <c r="AK9"/>
  <c r="AL9"/>
  <c r="AM9"/>
  <c r="W10"/>
  <c r="X10"/>
  <c r="Y10"/>
  <c r="Z10"/>
  <c r="AA10"/>
  <c r="AB10"/>
  <c r="AG10"/>
  <c r="AH10"/>
  <c r="AI10"/>
  <c r="AJ10"/>
  <c r="AK10"/>
  <c r="AL10"/>
  <c r="AM10"/>
  <c r="B11"/>
  <c r="I11" s="1"/>
  <c r="C11"/>
  <c r="D11"/>
  <c r="E11"/>
  <c r="F11"/>
  <c r="G11"/>
  <c r="H11"/>
  <c r="V11"/>
  <c r="B12"/>
  <c r="I12" s="1"/>
  <c r="C12"/>
  <c r="D12"/>
  <c r="E12"/>
  <c r="F12"/>
  <c r="G12"/>
  <c r="H12"/>
  <c r="H17"/>
  <c r="B18"/>
  <c r="E18" s="1"/>
  <c r="C18"/>
  <c r="D18"/>
  <c r="B19"/>
  <c r="C19"/>
  <c r="D19"/>
  <c r="I40"/>
  <c r="J40"/>
  <c r="K40"/>
  <c r="L40"/>
  <c r="M40"/>
  <c r="N40"/>
  <c r="O40"/>
  <c r="P40"/>
  <c r="Q40"/>
  <c r="B3" i="18"/>
  <c r="C3"/>
  <c r="D3"/>
  <c r="E3"/>
  <c r="F3"/>
  <c r="G3"/>
  <c r="H3"/>
  <c r="S3"/>
  <c r="T3"/>
  <c r="U3"/>
  <c r="V3"/>
  <c r="W3"/>
  <c r="X3"/>
  <c r="Y3"/>
  <c r="AA3"/>
  <c r="AB3"/>
  <c r="AC3"/>
  <c r="AD3"/>
  <c r="AE3"/>
  <c r="AF3"/>
  <c r="AG3"/>
  <c r="AA4"/>
  <c r="AB4"/>
  <c r="AC4"/>
  <c r="AD4"/>
  <c r="AE4"/>
  <c r="AF4"/>
  <c r="AG4"/>
  <c r="S5"/>
  <c r="S6"/>
  <c r="S7"/>
  <c r="T5"/>
  <c r="U5"/>
  <c r="V5"/>
  <c r="V6" s="1"/>
  <c r="W5"/>
  <c r="X5"/>
  <c r="Y5"/>
  <c r="Y6"/>
  <c r="Y7" s="1"/>
  <c r="Y8"/>
  <c r="Y9"/>
  <c r="Y10" s="1"/>
  <c r="AA5"/>
  <c r="AB5"/>
  <c r="AC5"/>
  <c r="AD5"/>
  <c r="AE5"/>
  <c r="AF5"/>
  <c r="AG5"/>
  <c r="T6"/>
  <c r="T7"/>
  <c r="U6"/>
  <c r="U7"/>
  <c r="W6"/>
  <c r="X6"/>
  <c r="AA6"/>
  <c r="AB6"/>
  <c r="AC6"/>
  <c r="AD6"/>
  <c r="AE6"/>
  <c r="AF6"/>
  <c r="AG6"/>
  <c r="V7"/>
  <c r="V8"/>
  <c r="V9"/>
  <c r="V10"/>
  <c r="W7"/>
  <c r="X7"/>
  <c r="AA7"/>
  <c r="AB7"/>
  <c r="AC7"/>
  <c r="AD7"/>
  <c r="AE7"/>
  <c r="AF7"/>
  <c r="AG7"/>
  <c r="S8"/>
  <c r="T8"/>
  <c r="U8"/>
  <c r="W8"/>
  <c r="X8"/>
  <c r="AA8"/>
  <c r="AB8"/>
  <c r="AC8"/>
  <c r="AD8"/>
  <c r="AE8"/>
  <c r="AF8"/>
  <c r="AG8"/>
  <c r="S9"/>
  <c r="T9"/>
  <c r="U9"/>
  <c r="W9"/>
  <c r="X9"/>
  <c r="AA9"/>
  <c r="AB9"/>
  <c r="AC9"/>
  <c r="AD9"/>
  <c r="AE9"/>
  <c r="AF9"/>
  <c r="AG9"/>
  <c r="S10"/>
  <c r="T10"/>
  <c r="U10"/>
  <c r="W10"/>
  <c r="X10"/>
  <c r="AA10"/>
  <c r="AB10"/>
  <c r="AC10"/>
  <c r="AD10"/>
  <c r="AE10"/>
  <c r="AF10"/>
  <c r="AG10"/>
  <c r="B11"/>
  <c r="C11"/>
  <c r="D11"/>
  <c r="E11"/>
  <c r="F11"/>
  <c r="G11"/>
  <c r="H11"/>
  <c r="S11"/>
  <c r="B12"/>
  <c r="I12" s="1"/>
  <c r="C12"/>
  <c r="D12"/>
  <c r="E12"/>
  <c r="F12"/>
  <c r="G12"/>
  <c r="H12"/>
  <c r="B13"/>
  <c r="C13"/>
  <c r="D13"/>
  <c r="E13"/>
  <c r="F13"/>
  <c r="G13"/>
  <c r="H13"/>
  <c r="B14"/>
  <c r="C14"/>
  <c r="D14"/>
  <c r="E14"/>
  <c r="F14"/>
  <c r="G14"/>
  <c r="H14"/>
  <c r="C16"/>
  <c r="D16"/>
  <c r="E16"/>
  <c r="F16"/>
  <c r="G16"/>
  <c r="H16"/>
  <c r="K42" i="5"/>
  <c r="W7"/>
  <c r="L109"/>
  <c r="L105"/>
  <c r="L97"/>
  <c r="L110"/>
  <c r="L106"/>
  <c r="L98"/>
  <c r="L111"/>
  <c r="L107"/>
  <c r="L103"/>
  <c r="L95"/>
  <c r="L108"/>
  <c r="L104"/>
  <c r="L96"/>
  <c r="K111"/>
  <c r="D111"/>
  <c r="K110"/>
  <c r="K109"/>
  <c r="K108"/>
  <c r="I108" s="1"/>
  <c r="K107"/>
  <c r="K106"/>
  <c r="K105"/>
  <c r="K99"/>
  <c r="K98"/>
  <c r="K97"/>
  <c r="L93"/>
  <c r="K100"/>
  <c r="L94"/>
  <c r="K102"/>
  <c r="K101"/>
  <c r="L100"/>
  <c r="L99"/>
  <c r="K92"/>
  <c r="K104"/>
  <c r="K103"/>
  <c r="L102"/>
  <c r="L101"/>
  <c r="K96"/>
  <c r="D96"/>
  <c r="K95"/>
  <c r="K94"/>
  <c r="D94"/>
  <c r="K93"/>
  <c r="L92"/>
  <c r="D103"/>
  <c r="D108"/>
  <c r="D107"/>
  <c r="D100"/>
  <c r="D98"/>
  <c r="L68"/>
  <c r="I68" s="1"/>
  <c r="K61"/>
  <c r="L58"/>
  <c r="K55"/>
  <c r="K85"/>
  <c r="L74"/>
  <c r="L86"/>
  <c r="L76"/>
  <c r="L66"/>
  <c r="K50"/>
  <c r="K47"/>
  <c r="K46"/>
  <c r="AP97"/>
  <c r="L78"/>
  <c r="L70"/>
  <c r="K65"/>
  <c r="I65" s="1"/>
  <c r="L62"/>
  <c r="K54"/>
  <c r="K51"/>
  <c r="K43"/>
  <c r="AP91"/>
  <c r="AP90"/>
  <c r="AP89"/>
  <c r="AP88"/>
  <c r="AP87"/>
  <c r="AP86"/>
  <c r="AP85"/>
  <c r="AP84"/>
  <c r="AP83"/>
  <c r="AP82"/>
  <c r="AP81"/>
  <c r="AP80"/>
  <c r="AP79"/>
  <c r="AP78"/>
  <c r="AP77"/>
  <c r="AP76"/>
  <c r="AP75"/>
  <c r="AP74"/>
  <c r="AP73"/>
  <c r="AP72"/>
  <c r="AP71"/>
  <c r="AP70"/>
  <c r="AP69"/>
  <c r="AP68"/>
  <c r="AP67"/>
  <c r="AP66"/>
  <c r="AP65"/>
  <c r="AP64"/>
  <c r="AP63"/>
  <c r="AP62"/>
  <c r="AP61"/>
  <c r="AP60"/>
  <c r="AP59"/>
  <c r="AP58"/>
  <c r="AP57"/>
  <c r="AP56"/>
  <c r="AP55"/>
  <c r="AP54"/>
  <c r="AP53"/>
  <c r="AP52"/>
  <c r="AP51"/>
  <c r="AP50"/>
  <c r="AP49"/>
  <c r="AP48"/>
  <c r="AP47"/>
  <c r="AP46"/>
  <c r="AP45"/>
  <c r="AP44"/>
  <c r="AP43"/>
  <c r="AP42"/>
  <c r="AP41"/>
  <c r="L91"/>
  <c r="K88"/>
  <c r="L83"/>
  <c r="K80"/>
  <c r="I41" i="18"/>
  <c r="K44" i="5"/>
  <c r="L45"/>
  <c r="K48"/>
  <c r="L49"/>
  <c r="K52"/>
  <c r="I52" s="1"/>
  <c r="L53"/>
  <c r="K56"/>
  <c r="L57"/>
  <c r="I57" s="1"/>
  <c r="K58"/>
  <c r="I58" s="1"/>
  <c r="K60"/>
  <c r="K62"/>
  <c r="K64"/>
  <c r="K59"/>
  <c r="L60"/>
  <c r="AU60"/>
  <c r="K63"/>
  <c r="L64"/>
  <c r="AU64"/>
  <c r="L67"/>
  <c r="L69"/>
  <c r="L71"/>
  <c r="L73"/>
  <c r="L75"/>
  <c r="L77"/>
  <c r="L79"/>
  <c r="K81"/>
  <c r="L82"/>
  <c r="K84"/>
  <c r="L87"/>
  <c r="K89"/>
  <c r="L90"/>
  <c r="K41"/>
  <c r="L42"/>
  <c r="AU42"/>
  <c r="L43"/>
  <c r="AU43"/>
  <c r="L44"/>
  <c r="AU44"/>
  <c r="K45"/>
  <c r="L46"/>
  <c r="L47"/>
  <c r="AU47"/>
  <c r="L48"/>
  <c r="K49"/>
  <c r="AU49"/>
  <c r="L50"/>
  <c r="AU50"/>
  <c r="L51"/>
  <c r="AU51"/>
  <c r="L52"/>
  <c r="AU52"/>
  <c r="K53"/>
  <c r="L54"/>
  <c r="I54" s="1"/>
  <c r="L55"/>
  <c r="AU55"/>
  <c r="L56"/>
  <c r="K57"/>
  <c r="L61"/>
  <c r="L65"/>
  <c r="AU65"/>
  <c r="K67"/>
  <c r="I67" s="1"/>
  <c r="K69"/>
  <c r="K71"/>
  <c r="K73"/>
  <c r="K75"/>
  <c r="K77"/>
  <c r="K79"/>
  <c r="L80"/>
  <c r="AU80"/>
  <c r="K82"/>
  <c r="I82" s="1"/>
  <c r="L85"/>
  <c r="AU85"/>
  <c r="D85" s="1"/>
  <c r="K87"/>
  <c r="L88"/>
  <c r="K90"/>
  <c r="L41"/>
  <c r="AU41"/>
  <c r="L59"/>
  <c r="AU59"/>
  <c r="L63"/>
  <c r="AU63"/>
  <c r="K66"/>
  <c r="K68"/>
  <c r="K70"/>
  <c r="K72"/>
  <c r="AU72"/>
  <c r="K74"/>
  <c r="K76"/>
  <c r="K78"/>
  <c r="I78" s="1"/>
  <c r="L81"/>
  <c r="AU81"/>
  <c r="K83"/>
  <c r="L84"/>
  <c r="I84" s="1"/>
  <c r="AU84"/>
  <c r="K86"/>
  <c r="L89"/>
  <c r="AU89"/>
  <c r="D89" s="1"/>
  <c r="K91"/>
  <c r="AP92"/>
  <c r="AP96"/>
  <c r="AP100"/>
  <c r="AP104"/>
  <c r="AP108"/>
  <c r="AP95"/>
  <c r="AP99"/>
  <c r="AP103"/>
  <c r="AP107"/>
  <c r="AP111"/>
  <c r="AP94"/>
  <c r="AP98"/>
  <c r="AP102"/>
  <c r="AP106"/>
  <c r="AP110"/>
  <c r="AP109"/>
  <c r="AP93"/>
  <c r="AP101"/>
  <c r="AP105"/>
  <c r="AU82"/>
  <c r="D105"/>
  <c r="AU73"/>
  <c r="AU57"/>
  <c r="AU83"/>
  <c r="AU91"/>
  <c r="AU78"/>
  <c r="AU66"/>
  <c r="AU86"/>
  <c r="AU74"/>
  <c r="AU68"/>
  <c r="AU77"/>
  <c r="AU69"/>
  <c r="AU53"/>
  <c r="AU45"/>
  <c r="AU90"/>
  <c r="AU75"/>
  <c r="AU67"/>
  <c r="AU62"/>
  <c r="AU61"/>
  <c r="AU54"/>
  <c r="AU46"/>
  <c r="AU87"/>
  <c r="AU79"/>
  <c r="AU71"/>
  <c r="AU56"/>
  <c r="AU48"/>
  <c r="AU88"/>
  <c r="AU70"/>
  <c r="AU76"/>
  <c r="AU58"/>
  <c r="D104"/>
  <c r="D95"/>
  <c r="D102"/>
  <c r="D99"/>
  <c r="P99" s="1"/>
  <c r="D109"/>
  <c r="T109" s="1"/>
  <c r="I111"/>
  <c r="I107"/>
  <c r="D92"/>
  <c r="I99"/>
  <c r="I102"/>
  <c r="I101"/>
  <c r="T111"/>
  <c r="S111"/>
  <c r="S100"/>
  <c r="AI100"/>
  <c r="AI96"/>
  <c r="S94"/>
  <c r="AI94"/>
  <c r="AI98"/>
  <c r="T94"/>
  <c r="Q96"/>
  <c r="Q98"/>
  <c r="T98"/>
  <c r="AD98" s="1"/>
  <c r="T100"/>
  <c r="R94"/>
  <c r="AB94" s="1"/>
  <c r="R98"/>
  <c r="R100"/>
  <c r="AB100"/>
  <c r="I88"/>
  <c r="I55"/>
  <c r="I51"/>
  <c r="I50"/>
  <c r="I87"/>
  <c r="I79"/>
  <c r="I45"/>
  <c r="I83"/>
  <c r="I56"/>
  <c r="AI102"/>
  <c r="AI110"/>
  <c r="AI104"/>
  <c r="R109"/>
  <c r="T104"/>
  <c r="AD104" s="1"/>
  <c r="AL109"/>
  <c r="AM93"/>
  <c r="AL102"/>
  <c r="AN107"/>
  <c r="AN108"/>
  <c r="AL97"/>
  <c r="AL111"/>
  <c r="AL103"/>
  <c r="AM108"/>
  <c r="AM96"/>
  <c r="AM100"/>
  <c r="AM105"/>
  <c r="AM110"/>
  <c r="AL98"/>
  <c r="AM107"/>
  <c r="AL94"/>
  <c r="AM99"/>
  <c r="AN100"/>
  <c r="AN103"/>
  <c r="AN111"/>
  <c r="T105"/>
  <c r="AN93"/>
  <c r="AN102"/>
  <c r="AM97"/>
  <c r="AM111"/>
  <c r="AM103"/>
  <c r="AL108"/>
  <c r="AL96"/>
  <c r="AL100"/>
  <c r="AM101"/>
  <c r="AL105"/>
  <c r="AL110"/>
  <c r="AM98"/>
  <c r="AL107"/>
  <c r="AL93"/>
  <c r="AM94"/>
  <c r="AM102"/>
  <c r="D70"/>
  <c r="D74"/>
  <c r="D91"/>
  <c r="D83"/>
  <c r="R83" s="1"/>
  <c r="D78"/>
  <c r="R78" s="1"/>
  <c r="D76"/>
  <c r="D66"/>
  <c r="D58"/>
  <c r="T92"/>
  <c r="T99"/>
  <c r="R95"/>
  <c r="AB95" s="1"/>
  <c r="Q95"/>
  <c r="AI109"/>
  <c r="P102"/>
  <c r="AI92"/>
  <c r="AI111"/>
  <c r="AI108"/>
  <c r="AI107"/>
  <c r="AI106"/>
  <c r="AI105"/>
  <c r="AI103"/>
  <c r="AI101"/>
  <c r="AI99"/>
  <c r="AI97"/>
  <c r="AI95"/>
  <c r="AI93"/>
  <c r="D52"/>
  <c r="D60"/>
  <c r="D84"/>
  <c r="D79"/>
  <c r="R79" s="1"/>
  <c r="D64"/>
  <c r="D81"/>
  <c r="D65"/>
  <c r="D45"/>
  <c r="D71"/>
  <c r="D87"/>
  <c r="D61"/>
  <c r="D59"/>
  <c r="T59" s="1"/>
  <c r="D43"/>
  <c r="D47"/>
  <c r="D51"/>
  <c r="D55"/>
  <c r="D67"/>
  <c r="D48"/>
  <c r="T48" s="1"/>
  <c r="AD48" s="1"/>
  <c r="D56"/>
  <c r="AB56" s="1"/>
  <c r="D53"/>
  <c r="R53" s="1"/>
  <c r="D69"/>
  <c r="R69" s="1"/>
  <c r="D42"/>
  <c r="D46"/>
  <c r="D50"/>
  <c r="R50" s="1"/>
  <c r="D54"/>
  <c r="D63"/>
  <c r="AM92"/>
  <c r="AL99"/>
  <c r="AL95"/>
  <c r="AN106"/>
  <c r="AM95"/>
  <c r="AN95"/>
  <c r="AN101"/>
  <c r="AL104"/>
  <c r="AM104"/>
  <c r="AL106"/>
  <c r="AM109"/>
  <c r="AL92"/>
  <c r="AL101"/>
  <c r="AN99"/>
  <c r="AN92"/>
  <c r="AM106"/>
  <c r="P70"/>
  <c r="S70"/>
  <c r="AI70"/>
  <c r="T91"/>
  <c r="U74"/>
  <c r="T74"/>
  <c r="AD74" s="1"/>
  <c r="S83"/>
  <c r="AB83"/>
  <c r="S78"/>
  <c r="AC78" s="1"/>
  <c r="R66"/>
  <c r="T58"/>
  <c r="AD58" s="1"/>
  <c r="R76"/>
  <c r="R89"/>
  <c r="AB89"/>
  <c r="R87"/>
  <c r="S52"/>
  <c r="AM52"/>
  <c r="T46"/>
  <c r="T47"/>
  <c r="AI91"/>
  <c r="AM89"/>
  <c r="T81"/>
  <c r="AD81" s="1"/>
  <c r="S81"/>
  <c r="AI81"/>
  <c r="S64"/>
  <c r="AC64" s="1"/>
  <c r="AI59"/>
  <c r="T55"/>
  <c r="R51"/>
  <c r="S47"/>
  <c r="P42"/>
  <c r="AI85"/>
  <c r="AI83"/>
  <c r="AI73"/>
  <c r="T60"/>
  <c r="S60"/>
  <c r="AI50"/>
  <c r="S42"/>
  <c r="AC42"/>
  <c r="AB53"/>
  <c r="S71"/>
  <c r="AI86"/>
  <c r="P61"/>
  <c r="T52"/>
  <c r="AI89"/>
  <c r="T85"/>
  <c r="R65"/>
  <c r="AI76"/>
  <c r="AB50"/>
  <c r="AI82"/>
  <c r="AI55"/>
  <c r="R47"/>
  <c r="AI49"/>
  <c r="AI65"/>
  <c r="Q65"/>
  <c r="U87"/>
  <c r="AE87" s="1"/>
  <c r="T87"/>
  <c r="S87"/>
  <c r="AI67"/>
  <c r="AI79"/>
  <c r="R56"/>
  <c r="AI90"/>
  <c r="AI88"/>
  <c r="AI74"/>
  <c r="AI78"/>
  <c r="R85"/>
  <c r="AB85"/>
  <c r="R52"/>
  <c r="S85"/>
  <c r="AI52"/>
  <c r="AI66"/>
  <c r="AI48"/>
  <c r="AI68"/>
  <c r="AI60"/>
  <c r="AI58"/>
  <c r="AI57"/>
  <c r="AI45"/>
  <c r="AK91"/>
  <c r="AK90"/>
  <c r="AK89"/>
  <c r="AK88"/>
  <c r="AK87"/>
  <c r="AK86"/>
  <c r="AK85"/>
  <c r="AK84"/>
  <c r="AK83"/>
  <c r="AK82"/>
  <c r="AK81"/>
  <c r="AK80"/>
  <c r="AK79"/>
  <c r="AK78"/>
  <c r="AK77"/>
  <c r="AK76"/>
  <c r="AK75"/>
  <c r="AK74"/>
  <c r="AK73"/>
  <c r="AK72"/>
  <c r="AK71"/>
  <c r="AK70"/>
  <c r="AK69"/>
  <c r="AK68"/>
  <c r="AK67"/>
  <c r="AK66"/>
  <c r="AK65"/>
  <c r="AK64"/>
  <c r="AK63"/>
  <c r="AK62"/>
  <c r="AK61"/>
  <c r="AK60"/>
  <c r="AK59"/>
  <c r="AK58"/>
  <c r="AK57"/>
  <c r="AK56"/>
  <c r="AK55"/>
  <c r="AK54"/>
  <c r="AK53"/>
  <c r="AK52"/>
  <c r="AK51"/>
  <c r="AK50"/>
  <c r="AK49"/>
  <c r="AK48"/>
  <c r="AK47"/>
  <c r="AK46"/>
  <c r="AK45"/>
  <c r="AK44"/>
  <c r="AK43"/>
  <c r="AK42"/>
  <c r="AM70"/>
  <c r="AJ70"/>
  <c r="AL70"/>
  <c r="AN70"/>
  <c r="AJ60"/>
  <c r="AJ89"/>
  <c r="AJ55"/>
  <c r="AJ67"/>
  <c r="AJ43"/>
  <c r="AJ86"/>
  <c r="AJ79"/>
  <c r="AJ54"/>
  <c r="AJ77"/>
  <c r="AJ85"/>
  <c r="AJ45"/>
  <c r="AJ63"/>
  <c r="AJ53"/>
  <c r="AJ84"/>
  <c r="AJ90"/>
  <c r="AJ80"/>
  <c r="AJ51"/>
  <c r="AJ42"/>
  <c r="AJ52"/>
  <c r="AJ49"/>
  <c r="AJ69"/>
  <c r="AJ66"/>
  <c r="AJ78"/>
  <c r="AJ87"/>
  <c r="AJ56"/>
  <c r="AJ82"/>
  <c r="AJ44"/>
  <c r="AJ65"/>
  <c r="AJ72"/>
  <c r="AJ58"/>
  <c r="AJ81"/>
  <c r="AJ64"/>
  <c r="AJ68"/>
  <c r="AJ73"/>
  <c r="AJ50"/>
  <c r="AJ62"/>
  <c r="AJ88"/>
  <c r="AJ59"/>
  <c r="AJ76"/>
  <c r="AJ91"/>
  <c r="AJ83"/>
  <c r="AJ71"/>
  <c r="AJ48"/>
  <c r="AJ47"/>
  <c r="AJ74"/>
  <c r="AJ57"/>
  <c r="AJ75"/>
  <c r="AJ61"/>
  <c r="AJ46"/>
  <c r="AN91"/>
  <c r="AL91"/>
  <c r="AL90"/>
  <c r="AL89"/>
  <c r="AL88"/>
  <c r="AL87"/>
  <c r="AL86"/>
  <c r="AL85"/>
  <c r="AL84"/>
  <c r="AL83"/>
  <c r="AL82"/>
  <c r="AL81"/>
  <c r="AL80"/>
  <c r="AL79"/>
  <c r="AL78"/>
  <c r="AL77"/>
  <c r="AL76"/>
  <c r="AL75"/>
  <c r="AL74"/>
  <c r="AL73"/>
  <c r="AL72"/>
  <c r="AL71"/>
  <c r="AL69"/>
  <c r="AL68"/>
  <c r="AL67"/>
  <c r="AL66"/>
  <c r="AL65"/>
  <c r="AL64"/>
  <c r="AL63"/>
  <c r="AL62"/>
  <c r="AL61"/>
  <c r="AL60"/>
  <c r="AL59"/>
  <c r="AL58"/>
  <c r="AL57"/>
  <c r="AL56"/>
  <c r="AL55"/>
  <c r="AL54"/>
  <c r="AL53"/>
  <c r="AL52"/>
  <c r="AL51"/>
  <c r="AL50"/>
  <c r="AL49"/>
  <c r="AL48"/>
  <c r="AL47"/>
  <c r="AL46"/>
  <c r="AL45"/>
  <c r="AL44"/>
  <c r="AL43"/>
  <c r="AL42"/>
  <c r="AN74"/>
  <c r="AM68"/>
  <c r="AM74"/>
  <c r="AN60"/>
  <c r="AN49"/>
  <c r="AN88"/>
  <c r="AN86"/>
  <c r="AN82"/>
  <c r="AN79"/>
  <c r="AN71"/>
  <c r="AN68"/>
  <c r="AN67"/>
  <c r="AN57"/>
  <c r="AN55"/>
  <c r="AN54"/>
  <c r="AN45"/>
  <c r="AN90"/>
  <c r="AN89"/>
  <c r="AD87"/>
  <c r="AN87"/>
  <c r="AD85"/>
  <c r="AN85"/>
  <c r="AN84"/>
  <c r="AN83"/>
  <c r="AN81"/>
  <c r="AN80"/>
  <c r="AN78"/>
  <c r="AN77"/>
  <c r="AN76"/>
  <c r="AN75"/>
  <c r="AN73"/>
  <c r="AN72"/>
  <c r="AN69"/>
  <c r="AN66"/>
  <c r="AN65"/>
  <c r="AN64"/>
  <c r="AN63"/>
  <c r="AN62"/>
  <c r="AN61"/>
  <c r="AD59"/>
  <c r="AN59"/>
  <c r="AN58"/>
  <c r="AN56"/>
  <c r="AN53"/>
  <c r="AD52"/>
  <c r="AN52"/>
  <c r="AN51"/>
  <c r="AN50"/>
  <c r="AN48"/>
  <c r="AD47"/>
  <c r="AN47"/>
  <c r="AD46"/>
  <c r="AN46"/>
  <c r="AN44"/>
  <c r="AN43"/>
  <c r="AM83"/>
  <c r="AM78"/>
  <c r="AM91"/>
  <c r="AM66"/>
  <c r="AM58"/>
  <c r="AM51"/>
  <c r="AM76"/>
  <c r="AM79"/>
  <c r="AM73"/>
  <c r="AM90"/>
  <c r="AM88"/>
  <c r="AM87"/>
  <c r="AM86"/>
  <c r="AM85"/>
  <c r="AM84"/>
  <c r="AM82"/>
  <c r="AM81"/>
  <c r="AM80"/>
  <c r="AM77"/>
  <c r="AM75"/>
  <c r="AM72"/>
  <c r="AM71"/>
  <c r="AM69"/>
  <c r="AM67"/>
  <c r="AM65"/>
  <c r="AM64"/>
  <c r="AM63"/>
  <c r="AM62"/>
  <c r="AM61"/>
  <c r="AM60"/>
  <c r="AM59"/>
  <c r="AM57"/>
  <c r="AM56"/>
  <c r="AM55"/>
  <c r="AM54"/>
  <c r="AM53"/>
  <c r="AM50"/>
  <c r="AM49"/>
  <c r="AM48"/>
  <c r="AM47"/>
  <c r="AM46"/>
  <c r="AM45"/>
  <c r="AM44"/>
  <c r="AM43"/>
  <c r="AM42"/>
  <c r="AI84"/>
  <c r="AI75"/>
  <c r="AI77"/>
  <c r="AI72"/>
  <c r="AI63"/>
  <c r="AI61"/>
  <c r="AI56"/>
  <c r="AI54"/>
  <c r="AI53"/>
  <c r="AI51"/>
  <c r="AI42"/>
  <c r="AI62"/>
  <c r="AI69"/>
  <c r="AI64"/>
  <c r="AI80"/>
  <c r="AI43"/>
  <c r="AI44"/>
  <c r="AI71"/>
  <c r="AI46"/>
  <c r="AI87"/>
  <c r="AI47"/>
  <c r="Y14"/>
  <c r="Y13"/>
  <c r="Y17"/>
  <c r="Y15"/>
  <c r="Y16"/>
  <c r="Z11"/>
  <c r="S22"/>
  <c r="M16"/>
  <c r="D41"/>
  <c r="I15" s="1"/>
  <c r="U41"/>
  <c r="AL41"/>
  <c r="AM41"/>
  <c r="AI41"/>
  <c r="AK41"/>
  <c r="AJ41"/>
  <c r="Z14"/>
  <c r="W14"/>
  <c r="Z13"/>
  <c r="AN41"/>
  <c r="G5" i="21" l="1"/>
  <c r="G6" s="1"/>
  <c r="H6" s="1"/>
  <c r="G4"/>
  <c r="H4" s="1"/>
  <c r="E11"/>
  <c r="AA84" i="5"/>
  <c r="C6"/>
  <c r="X47"/>
  <c r="AH103"/>
  <c r="N89"/>
  <c r="AH89" s="1"/>
  <c r="AH51"/>
  <c r="N99"/>
  <c r="N81"/>
  <c r="N42"/>
  <c r="AH42" s="1"/>
  <c r="N84"/>
  <c r="AH84" s="1"/>
  <c r="AH50"/>
  <c r="AH58"/>
  <c r="AH78"/>
  <c r="AH71"/>
  <c r="X63"/>
  <c r="N87"/>
  <c r="N56"/>
  <c r="X56" s="1"/>
  <c r="AH79"/>
  <c r="AH54"/>
  <c r="X43"/>
  <c r="T63"/>
  <c r="P63"/>
  <c r="Z63"/>
  <c r="AD63"/>
  <c r="P55"/>
  <c r="Z55" s="1"/>
  <c r="P45"/>
  <c r="AB45"/>
  <c r="R45"/>
  <c r="M45"/>
  <c r="AG45" s="1"/>
  <c r="I85"/>
  <c r="P108"/>
  <c r="Z108" s="1"/>
  <c r="T108"/>
  <c r="AD108" s="1"/>
  <c r="AB54"/>
  <c r="R54"/>
  <c r="Z54"/>
  <c r="T54"/>
  <c r="P54"/>
  <c r="AD54"/>
  <c r="R67"/>
  <c r="AB67" s="1"/>
  <c r="T67"/>
  <c r="AD67" s="1"/>
  <c r="AB70"/>
  <c r="R70"/>
  <c r="Z70"/>
  <c r="T102"/>
  <c r="AD102" s="1"/>
  <c r="Z102"/>
  <c r="D88"/>
  <c r="Z61"/>
  <c r="R61"/>
  <c r="T61"/>
  <c r="AD61" s="1"/>
  <c r="D77"/>
  <c r="AB77"/>
  <c r="M77"/>
  <c r="R77"/>
  <c r="R57"/>
  <c r="D57"/>
  <c r="P57"/>
  <c r="M57"/>
  <c r="Z57"/>
  <c r="P89"/>
  <c r="Z89" s="1"/>
  <c r="T89"/>
  <c r="AD89" s="1"/>
  <c r="I74"/>
  <c r="P107"/>
  <c r="Z107" s="1"/>
  <c r="AB107"/>
  <c r="R107"/>
  <c r="R96"/>
  <c r="AB96" s="1"/>
  <c r="P96"/>
  <c r="Z96" s="1"/>
  <c r="T96"/>
  <c r="AD96" s="1"/>
  <c r="I100"/>
  <c r="I98"/>
  <c r="AG98"/>
  <c r="I97"/>
  <c r="I110"/>
  <c r="I92"/>
  <c r="I81"/>
  <c r="I61"/>
  <c r="I86"/>
  <c r="I48"/>
  <c r="I106"/>
  <c r="I66"/>
  <c r="I49"/>
  <c r="I91"/>
  <c r="I70"/>
  <c r="I77"/>
  <c r="I62"/>
  <c r="I96"/>
  <c r="I94"/>
  <c r="I76"/>
  <c r="I64"/>
  <c r="I90"/>
  <c r="I104"/>
  <c r="I80"/>
  <c r="S95"/>
  <c r="AC95" s="1"/>
  <c r="AC109"/>
  <c r="S92"/>
  <c r="S76"/>
  <c r="AC76" s="1"/>
  <c r="S43"/>
  <c r="S72"/>
  <c r="AC72" s="1"/>
  <c r="AC69"/>
  <c r="AC61"/>
  <c r="S59"/>
  <c r="AC59" s="1"/>
  <c r="S84"/>
  <c r="S46"/>
  <c r="AC46" s="1"/>
  <c r="S107"/>
  <c r="AC107" s="1"/>
  <c r="S98"/>
  <c r="AC98" s="1"/>
  <c r="S109"/>
  <c r="AC66"/>
  <c r="S45"/>
  <c r="AC45" s="1"/>
  <c r="AC53"/>
  <c r="S69"/>
  <c r="S61"/>
  <c r="S77"/>
  <c r="AC77" s="1"/>
  <c r="S55"/>
  <c r="AC55" s="1"/>
  <c r="AC94"/>
  <c r="S104"/>
  <c r="AC104" s="1"/>
  <c r="S66"/>
  <c r="S89"/>
  <c r="AC89" s="1"/>
  <c r="S73"/>
  <c r="AC73" s="1"/>
  <c r="AC47"/>
  <c r="AC60"/>
  <c r="S53"/>
  <c r="AC71"/>
  <c r="S80"/>
  <c r="AC65"/>
  <c r="S56"/>
  <c r="AC56" s="1"/>
  <c r="AC87"/>
  <c r="S102"/>
  <c r="AC102" s="1"/>
  <c r="AC111"/>
  <c r="AC103"/>
  <c r="AC105"/>
  <c r="AC83"/>
  <c r="S79"/>
  <c r="S51"/>
  <c r="AC67"/>
  <c r="AC54"/>
  <c r="AC63"/>
  <c r="S103"/>
  <c r="S96"/>
  <c r="AC96" s="1"/>
  <c r="S74"/>
  <c r="AC74" s="1"/>
  <c r="S48"/>
  <c r="AC48" s="1"/>
  <c r="S86"/>
  <c r="S67"/>
  <c r="AC70"/>
  <c r="S54"/>
  <c r="AC93"/>
  <c r="S108"/>
  <c r="AC108" s="1"/>
  <c r="S99"/>
  <c r="AC99" s="1"/>
  <c r="AC43"/>
  <c r="AC92"/>
  <c r="AC51"/>
  <c r="AC52"/>
  <c r="S93"/>
  <c r="S91"/>
  <c r="AC91" s="1"/>
  <c r="AC79"/>
  <c r="AC81"/>
  <c r="AC84"/>
  <c r="AC85"/>
  <c r="AC100"/>
  <c r="S105"/>
  <c r="S58"/>
  <c r="AC58" s="1"/>
  <c r="S50"/>
  <c r="AC50" s="1"/>
  <c r="S65"/>
  <c r="S63"/>
  <c r="P98"/>
  <c r="P92"/>
  <c r="P91"/>
  <c r="Z91" s="1"/>
  <c r="P53"/>
  <c r="Z53" s="1"/>
  <c r="Z111"/>
  <c r="P83"/>
  <c r="Z83" s="1"/>
  <c r="P100"/>
  <c r="P50"/>
  <c r="P104"/>
  <c r="Z104" s="1"/>
  <c r="P85"/>
  <c r="Z42"/>
  <c r="P69"/>
  <c r="Z69" s="1"/>
  <c r="P47"/>
  <c r="Z105"/>
  <c r="P95"/>
  <c r="Z95" s="1"/>
  <c r="P51"/>
  <c r="Z51" s="1"/>
  <c r="Z58"/>
  <c r="P78"/>
  <c r="Q102"/>
  <c r="AA102" s="1"/>
  <c r="AE107"/>
  <c r="M48"/>
  <c r="W48" s="1"/>
  <c r="V13"/>
  <c r="G6"/>
  <c r="AO48"/>
  <c r="Z50"/>
  <c r="Q85"/>
  <c r="Q43"/>
  <c r="AA43" s="1"/>
  <c r="P76"/>
  <c r="Z76" s="1"/>
  <c r="R108"/>
  <c r="AB108" s="1"/>
  <c r="I72"/>
  <c r="T15"/>
  <c r="T16" s="1"/>
  <c r="T20" s="1"/>
  <c r="AC21"/>
  <c r="AB21"/>
  <c r="U98"/>
  <c r="U95"/>
  <c r="AE95" s="1"/>
  <c r="U110"/>
  <c r="U104"/>
  <c r="AE104" s="1"/>
  <c r="U99"/>
  <c r="AE99" s="1"/>
  <c r="AE96"/>
  <c r="U70"/>
  <c r="U76"/>
  <c r="U66"/>
  <c r="AE66" s="1"/>
  <c r="AE58"/>
  <c r="U89"/>
  <c r="AE89" s="1"/>
  <c r="U46"/>
  <c r="AO46" s="1"/>
  <c r="U67"/>
  <c r="AO67" s="1"/>
  <c r="U108"/>
  <c r="AE108" s="1"/>
  <c r="AE111"/>
  <c r="U58"/>
  <c r="U81"/>
  <c r="AO81" s="1"/>
  <c r="U80"/>
  <c r="AE80" s="1"/>
  <c r="U50"/>
  <c r="AE50" s="1"/>
  <c r="U71"/>
  <c r="AE71" s="1"/>
  <c r="U54"/>
  <c r="AE54" s="1"/>
  <c r="U65"/>
  <c r="AO65" s="1"/>
  <c r="U100"/>
  <c r="AE100" s="1"/>
  <c r="AE103"/>
  <c r="U69"/>
  <c r="AE69" s="1"/>
  <c r="U51"/>
  <c r="AE51" s="1"/>
  <c r="U60"/>
  <c r="AO60" s="1"/>
  <c r="U57"/>
  <c r="AE57" s="1"/>
  <c r="AE59"/>
  <c r="U84"/>
  <c r="U52"/>
  <c r="AO52" s="1"/>
  <c r="U107"/>
  <c r="U103"/>
  <c r="U91"/>
  <c r="AE91" s="1"/>
  <c r="U78"/>
  <c r="AE78" s="1"/>
  <c r="U53"/>
  <c r="U45"/>
  <c r="AE45" s="1"/>
  <c r="U79"/>
  <c r="AE94"/>
  <c r="U102"/>
  <c r="AE102" s="1"/>
  <c r="U43"/>
  <c r="AE43" s="1"/>
  <c r="U42"/>
  <c r="AE42" s="1"/>
  <c r="U64"/>
  <c r="AO61"/>
  <c r="AE46"/>
  <c r="AO64"/>
  <c r="AE52"/>
  <c r="U111"/>
  <c r="U94"/>
  <c r="AO94" s="1"/>
  <c r="AO107"/>
  <c r="U85"/>
  <c r="AO85" s="1"/>
  <c r="AE53"/>
  <c r="U47"/>
  <c r="AE47" s="1"/>
  <c r="U61"/>
  <c r="AE61" s="1"/>
  <c r="U75"/>
  <c r="AE75" s="1"/>
  <c r="AO58"/>
  <c r="AO41"/>
  <c r="U82"/>
  <c r="AE82" s="1"/>
  <c r="AE70"/>
  <c r="AE98"/>
  <c r="AO70"/>
  <c r="U59"/>
  <c r="AE79"/>
  <c r="U55"/>
  <c r="AE55" s="1"/>
  <c r="AE74"/>
  <c r="AO53"/>
  <c r="AE60"/>
  <c r="AE41"/>
  <c r="U63"/>
  <c r="AE63" s="1"/>
  <c r="U56"/>
  <c r="AO76"/>
  <c r="AE77"/>
  <c r="V7"/>
  <c r="M100"/>
  <c r="M56"/>
  <c r="AG56" s="1"/>
  <c r="M99"/>
  <c r="W99" s="1"/>
  <c r="M60"/>
  <c r="W60" s="1"/>
  <c r="M43"/>
  <c r="AG43" s="1"/>
  <c r="AE6"/>
  <c r="V95" s="1"/>
  <c r="V91"/>
  <c r="V45"/>
  <c r="V46"/>
  <c r="AF46" s="1"/>
  <c r="V70"/>
  <c r="V41"/>
  <c r="V81"/>
  <c r="V107"/>
  <c r="Q108"/>
  <c r="AA108" s="1"/>
  <c r="Q93"/>
  <c r="Q70"/>
  <c r="Q91"/>
  <c r="Q82"/>
  <c r="AA53"/>
  <c r="AA69"/>
  <c r="AA87"/>
  <c r="AA94"/>
  <c r="Q100"/>
  <c r="AA100" s="1"/>
  <c r="Q58"/>
  <c r="AA58" s="1"/>
  <c r="Q53"/>
  <c r="Q69"/>
  <c r="Q60"/>
  <c r="AA60" s="1"/>
  <c r="AA77"/>
  <c r="Q51"/>
  <c r="AA51" s="1"/>
  <c r="Q87"/>
  <c r="Q99"/>
  <c r="AA99" s="1"/>
  <c r="Q94"/>
  <c r="AA96"/>
  <c r="Q76"/>
  <c r="AA76" s="1"/>
  <c r="Q81"/>
  <c r="AA81" s="1"/>
  <c r="Q77"/>
  <c r="AA52"/>
  <c r="Q71"/>
  <c r="AA71" s="1"/>
  <c r="AA63"/>
  <c r="AA105"/>
  <c r="AA109"/>
  <c r="AA95"/>
  <c r="Q78"/>
  <c r="AA57"/>
  <c r="Q55"/>
  <c r="AA55" s="1"/>
  <c r="Q59"/>
  <c r="AA59" s="1"/>
  <c r="Q86"/>
  <c r="Q50"/>
  <c r="AA50" s="1"/>
  <c r="Q46"/>
  <c r="AA46" s="1"/>
  <c r="Q104"/>
  <c r="AA104" s="1"/>
  <c r="Q56"/>
  <c r="AA56" s="1"/>
  <c r="Q57"/>
  <c r="Q79"/>
  <c r="AA79" s="1"/>
  <c r="Z12"/>
  <c r="Q92"/>
  <c r="AA92" s="1"/>
  <c r="AA70"/>
  <c r="AA91"/>
  <c r="Q89"/>
  <c r="AA89" s="1"/>
  <c r="Q72"/>
  <c r="AA45"/>
  <c r="AA78"/>
  <c r="AA54"/>
  <c r="AA65"/>
  <c r="Q111"/>
  <c r="AA111" s="1"/>
  <c r="AA42"/>
  <c r="Q45"/>
  <c r="Q41"/>
  <c r="Q42"/>
  <c r="Q107"/>
  <c r="AA107" s="1"/>
  <c r="AA98"/>
  <c r="Q110"/>
  <c r="Q105"/>
  <c r="AA47"/>
  <c r="Q67"/>
  <c r="AA67" s="1"/>
  <c r="Q90"/>
  <c r="Q61"/>
  <c r="AA61" s="1"/>
  <c r="AA85"/>
  <c r="N95"/>
  <c r="N109"/>
  <c r="AH109" s="1"/>
  <c r="N82"/>
  <c r="N64"/>
  <c r="AH64" s="1"/>
  <c r="N108"/>
  <c r="X108" s="1"/>
  <c r="N98"/>
  <c r="AH98" s="1"/>
  <c r="N78"/>
  <c r="X78" s="1"/>
  <c r="N90"/>
  <c r="X90" s="1"/>
  <c r="N51"/>
  <c r="X51" s="1"/>
  <c r="N69"/>
  <c r="X69" s="1"/>
  <c r="N71"/>
  <c r="X71" s="1"/>
  <c r="N48"/>
  <c r="X48" s="1"/>
  <c r="N52"/>
  <c r="AH52" s="1"/>
  <c r="N61"/>
  <c r="AH61" s="1"/>
  <c r="X54"/>
  <c r="N79"/>
  <c r="X79" s="1"/>
  <c r="N85"/>
  <c r="X85" s="1"/>
  <c r="N107"/>
  <c r="X107" s="1"/>
  <c r="N100"/>
  <c r="AH100" s="1"/>
  <c r="N110"/>
  <c r="X110" s="1"/>
  <c r="N104"/>
  <c r="X104" s="1"/>
  <c r="N92"/>
  <c r="X92" s="1"/>
  <c r="N66"/>
  <c r="X66" s="1"/>
  <c r="N74"/>
  <c r="AH74" s="1"/>
  <c r="N91"/>
  <c r="X91" s="1"/>
  <c r="N83"/>
  <c r="AH83" s="1"/>
  <c r="X81"/>
  <c r="N53"/>
  <c r="AH53" s="1"/>
  <c r="N54"/>
  <c r="X89"/>
  <c r="X105"/>
  <c r="N94"/>
  <c r="X94" s="1"/>
  <c r="N63"/>
  <c r="N47"/>
  <c r="N43"/>
  <c r="AH43" s="1"/>
  <c r="X57"/>
  <c r="X60"/>
  <c r="N59"/>
  <c r="AH59" s="1"/>
  <c r="N111"/>
  <c r="X111" s="1"/>
  <c r="N70"/>
  <c r="X70" s="1"/>
  <c r="X58"/>
  <c r="X82"/>
  <c r="N80"/>
  <c r="AH80" s="1"/>
  <c r="N50"/>
  <c r="X50" s="1"/>
  <c r="X77"/>
  <c r="C5"/>
  <c r="C12" s="1"/>
  <c r="C13" s="1"/>
  <c r="N105"/>
  <c r="AH105" s="1"/>
  <c r="N58"/>
  <c r="N65"/>
  <c r="X65" s="1"/>
  <c r="X67"/>
  <c r="N45"/>
  <c r="X45" s="1"/>
  <c r="N55"/>
  <c r="AH55" s="1"/>
  <c r="N41"/>
  <c r="C4" s="1"/>
  <c r="X95"/>
  <c r="N102"/>
  <c r="X87"/>
  <c r="X102"/>
  <c r="N77"/>
  <c r="N57"/>
  <c r="N67"/>
  <c r="N96"/>
  <c r="X96" s="1"/>
  <c r="N76"/>
  <c r="X76" s="1"/>
  <c r="X59"/>
  <c r="N60"/>
  <c r="AH60" s="1"/>
  <c r="N46"/>
  <c r="AH46" s="1"/>
  <c r="N49"/>
  <c r="AH49" s="1"/>
  <c r="X41"/>
  <c r="AE84"/>
  <c r="Z85"/>
  <c r="Q84"/>
  <c r="AE64"/>
  <c r="Q52"/>
  <c r="Q47"/>
  <c r="U90"/>
  <c r="AO90" s="1"/>
  <c r="Q109"/>
  <c r="U105"/>
  <c r="AE105" s="1"/>
  <c r="I11" i="22"/>
  <c r="I12"/>
  <c r="E18"/>
  <c r="P41" i="5"/>
  <c r="E4" s="1"/>
  <c r="S23"/>
  <c r="AB11" s="1"/>
  <c r="T41"/>
  <c r="AD41" s="1"/>
  <c r="Z41"/>
  <c r="Z49"/>
  <c r="P49"/>
  <c r="D49"/>
  <c r="V49" s="1"/>
  <c r="R49"/>
  <c r="AB49" s="1"/>
  <c r="AD49"/>
  <c r="AH87"/>
  <c r="I71"/>
  <c r="J17" i="20"/>
  <c r="L17" s="1"/>
  <c r="J16"/>
  <c r="L16" s="1"/>
  <c r="AH99" i="5"/>
  <c r="M87"/>
  <c r="AG87" s="1"/>
  <c r="AG42"/>
  <c r="Q103"/>
  <c r="U109"/>
  <c r="AE109" s="1"/>
  <c r="E5"/>
  <c r="E12" s="1"/>
  <c r="E13" s="1"/>
  <c r="AE67"/>
  <c r="AO42"/>
  <c r="Z45"/>
  <c r="P67"/>
  <c r="Z67" s="1"/>
  <c r="AB61"/>
  <c r="R55"/>
  <c r="AB55" s="1"/>
  <c r="U77"/>
  <c r="AO77" s="1"/>
  <c r="U48"/>
  <c r="AE48" s="1"/>
  <c r="P43"/>
  <c r="Q66"/>
  <c r="AA66" s="1"/>
  <c r="Q83"/>
  <c r="AA83" s="1"/>
  <c r="U83"/>
  <c r="AO83" s="1"/>
  <c r="AO96"/>
  <c r="U92"/>
  <c r="AE92" s="1"/>
  <c r="Z100"/>
  <c r="AA103"/>
  <c r="Z94"/>
  <c r="R82"/>
  <c r="P84"/>
  <c r="AG53"/>
  <c r="AO47"/>
  <c r="D80"/>
  <c r="AC80" s="1"/>
  <c r="P80"/>
  <c r="Z80" s="1"/>
  <c r="W80"/>
  <c r="I44"/>
  <c r="T66"/>
  <c r="AH107"/>
  <c r="AH94"/>
  <c r="AH102"/>
  <c r="AH91"/>
  <c r="AH96"/>
  <c r="AH66"/>
  <c r="AH65"/>
  <c r="AH47"/>
  <c r="AH63"/>
  <c r="AH81"/>
  <c r="AH67"/>
  <c r="AH48"/>
  <c r="AH69"/>
  <c r="AH57"/>
  <c r="AG48"/>
  <c r="S41"/>
  <c r="H4" s="1"/>
  <c r="U72"/>
  <c r="AO72" s="1"/>
  <c r="Q63"/>
  <c r="Q64"/>
  <c r="AA64" s="1"/>
  <c r="Q74"/>
  <c r="AA74" s="1"/>
  <c r="AO108"/>
  <c r="AG111"/>
  <c r="AO105"/>
  <c r="P66"/>
  <c r="AO59"/>
  <c r="F5"/>
  <c r="F12" s="1"/>
  <c r="F13" s="1"/>
  <c r="S24"/>
  <c r="AO45"/>
  <c r="R41"/>
  <c r="AO54"/>
  <c r="AO79"/>
  <c r="T49"/>
  <c r="M79"/>
  <c r="M46"/>
  <c r="AG46" s="1"/>
  <c r="R80"/>
  <c r="Q48"/>
  <c r="AA48" s="1"/>
  <c r="AE76"/>
  <c r="AO92"/>
  <c r="AO99"/>
  <c r="X99"/>
  <c r="N103"/>
  <c r="X103" s="1"/>
  <c r="O32"/>
  <c r="P58"/>
  <c r="R58"/>
  <c r="AB58" s="1"/>
  <c r="M111"/>
  <c r="M94"/>
  <c r="W94" s="1"/>
  <c r="W96"/>
  <c r="M102"/>
  <c r="W102" s="1"/>
  <c r="M58"/>
  <c r="M74"/>
  <c r="W74" s="1"/>
  <c r="M66"/>
  <c r="W66" s="1"/>
  <c r="M81"/>
  <c r="W81" s="1"/>
  <c r="M63"/>
  <c r="AG63" s="1"/>
  <c r="M80"/>
  <c r="M52"/>
  <c r="W52" s="1"/>
  <c r="W47"/>
  <c r="W61"/>
  <c r="M49"/>
  <c r="W49" s="1"/>
  <c r="M96"/>
  <c r="W93"/>
  <c r="W109"/>
  <c r="W104"/>
  <c r="M70"/>
  <c r="M91"/>
  <c r="W82"/>
  <c r="M64"/>
  <c r="W64" s="1"/>
  <c r="M69"/>
  <c r="W69" s="1"/>
  <c r="M47"/>
  <c r="AG47" s="1"/>
  <c r="M61"/>
  <c r="M67"/>
  <c r="W67" s="1"/>
  <c r="M103"/>
  <c r="AG103" s="1"/>
  <c r="M105"/>
  <c r="W105" s="1"/>
  <c r="M93"/>
  <c r="M109"/>
  <c r="AG109" s="1"/>
  <c r="M104"/>
  <c r="M76"/>
  <c r="M82"/>
  <c r="M54"/>
  <c r="AG54" s="1"/>
  <c r="W43"/>
  <c r="M98"/>
  <c r="W98" s="1"/>
  <c r="M92"/>
  <c r="AG92" s="1"/>
  <c r="W111"/>
  <c r="M84"/>
  <c r="W84" s="1"/>
  <c r="W89"/>
  <c r="M51"/>
  <c r="W51" s="1"/>
  <c r="M50"/>
  <c r="AG50" s="1"/>
  <c r="M42"/>
  <c r="M55"/>
  <c r="W55" s="1"/>
  <c r="Z110"/>
  <c r="P110"/>
  <c r="D110"/>
  <c r="M110" s="1"/>
  <c r="T106"/>
  <c r="D106"/>
  <c r="AB98"/>
  <c r="Z98"/>
  <c r="P94"/>
  <c r="AD94"/>
  <c r="T103"/>
  <c r="AD103" s="1"/>
  <c r="T95"/>
  <c r="AD95" s="1"/>
  <c r="T70"/>
  <c r="AD70" s="1"/>
  <c r="T53"/>
  <c r="AD53" s="1"/>
  <c r="T78"/>
  <c r="AD78" s="1"/>
  <c r="T42"/>
  <c r="AD42" s="1"/>
  <c r="T45"/>
  <c r="AD45" s="1"/>
  <c r="AD64"/>
  <c r="T83"/>
  <c r="AD83" s="1"/>
  <c r="AD55"/>
  <c r="T50"/>
  <c r="AD50" s="1"/>
  <c r="T43"/>
  <c r="AD43" s="1"/>
  <c r="AD60"/>
  <c r="T64"/>
  <c r="T107"/>
  <c r="AD107" s="1"/>
  <c r="AD100"/>
  <c r="AD111"/>
  <c r="AD92"/>
  <c r="AD99"/>
  <c r="AD91"/>
  <c r="T76"/>
  <c r="AD76" s="1"/>
  <c r="T69"/>
  <c r="AD69" s="1"/>
  <c r="T65"/>
  <c r="AD65" s="1"/>
  <c r="X12"/>
  <c r="AG64"/>
  <c r="W76"/>
  <c r="AG79"/>
  <c r="M59"/>
  <c r="AG59" s="1"/>
  <c r="M53"/>
  <c r="W53" s="1"/>
  <c r="AB66"/>
  <c r="I46"/>
  <c r="R102"/>
  <c r="AB102" s="1"/>
  <c r="AO201"/>
  <c r="AN196"/>
  <c r="AO185"/>
  <c r="AN180"/>
  <c r="AO169"/>
  <c r="AN164"/>
  <c r="AO153"/>
  <c r="AN148"/>
  <c r="AO137"/>
  <c r="AN132"/>
  <c r="AO121"/>
  <c r="D90"/>
  <c r="T90" s="1"/>
  <c r="P72"/>
  <c r="T72"/>
  <c r="AG91"/>
  <c r="AG67"/>
  <c r="AG76"/>
  <c r="AG96"/>
  <c r="R81"/>
  <c r="AB81" s="1"/>
  <c r="P81"/>
  <c r="Z81" s="1"/>
  <c r="T71"/>
  <c r="AD71" s="1"/>
  <c r="R71"/>
  <c r="AB71" s="1"/>
  <c r="P71"/>
  <c r="Z71" s="1"/>
  <c r="P75"/>
  <c r="Z75" s="1"/>
  <c r="D75"/>
  <c r="Z86"/>
  <c r="P86"/>
  <c r="D86"/>
  <c r="AN118"/>
  <c r="AN126"/>
  <c r="AN134"/>
  <c r="AN142"/>
  <c r="AN150"/>
  <c r="AN158"/>
  <c r="AN166"/>
  <c r="AN174"/>
  <c r="AN182"/>
  <c r="AN190"/>
  <c r="AN198"/>
  <c r="AN96"/>
  <c r="AN97"/>
  <c r="AN109"/>
  <c r="AN42"/>
  <c r="AN115"/>
  <c r="AN123"/>
  <c r="AN131"/>
  <c r="AN139"/>
  <c r="AN147"/>
  <c r="AN155"/>
  <c r="AN163"/>
  <c r="AN171"/>
  <c r="AN179"/>
  <c r="AN187"/>
  <c r="AN195"/>
  <c r="E18"/>
  <c r="AN105"/>
  <c r="AN112"/>
  <c r="AN120"/>
  <c r="AN128"/>
  <c r="AN136"/>
  <c r="AN144"/>
  <c r="AN152"/>
  <c r="AN160"/>
  <c r="AN168"/>
  <c r="AN176"/>
  <c r="AN184"/>
  <c r="AN192"/>
  <c r="AN200"/>
  <c r="AN110"/>
  <c r="AN98"/>
  <c r="AN119"/>
  <c r="AN127"/>
  <c r="AN135"/>
  <c r="AN143"/>
  <c r="AN151"/>
  <c r="AN159"/>
  <c r="AN167"/>
  <c r="AN175"/>
  <c r="AN183"/>
  <c r="AN191"/>
  <c r="AN199"/>
  <c r="AN94"/>
  <c r="AN104"/>
  <c r="P56"/>
  <c r="I60"/>
  <c r="W42"/>
  <c r="T56"/>
  <c r="W92"/>
  <c r="AB109"/>
  <c r="P109"/>
  <c r="Z109" s="1"/>
  <c r="M95"/>
  <c r="W95" s="1"/>
  <c r="M108"/>
  <c r="W108" s="1"/>
  <c r="AO193"/>
  <c r="AN188"/>
  <c r="AO177"/>
  <c r="AN172"/>
  <c r="AO161"/>
  <c r="AN156"/>
  <c r="AO145"/>
  <c r="AN140"/>
  <c r="AO129"/>
  <c r="AN124"/>
  <c r="Z99"/>
  <c r="AB99"/>
  <c r="Z79"/>
  <c r="P79"/>
  <c r="AB79"/>
  <c r="T79"/>
  <c r="AD79" s="1"/>
  <c r="D82"/>
  <c r="T82"/>
  <c r="T84"/>
  <c r="AD84" s="1"/>
  <c r="Z84"/>
  <c r="P111"/>
  <c r="R111"/>
  <c r="X6"/>
  <c r="O41" s="1"/>
  <c r="O75"/>
  <c r="Z78"/>
  <c r="AB78"/>
  <c r="AB104"/>
  <c r="R104"/>
  <c r="AH77"/>
  <c r="AG77"/>
  <c r="I93"/>
  <c r="AG93"/>
  <c r="I103"/>
  <c r="AO115"/>
  <c r="AO123"/>
  <c r="AO131"/>
  <c r="AO139"/>
  <c r="AO147"/>
  <c r="AO155"/>
  <c r="AO163"/>
  <c r="AO171"/>
  <c r="AO179"/>
  <c r="AO187"/>
  <c r="AO195"/>
  <c r="AO111"/>
  <c r="AO71"/>
  <c r="AO112"/>
  <c r="AO120"/>
  <c r="AO128"/>
  <c r="AO136"/>
  <c r="AO144"/>
  <c r="AO152"/>
  <c r="AO160"/>
  <c r="AO168"/>
  <c r="AO176"/>
  <c r="AO184"/>
  <c r="AO192"/>
  <c r="AO200"/>
  <c r="AO103"/>
  <c r="AO69"/>
  <c r="AO84"/>
  <c r="AO117"/>
  <c r="AO125"/>
  <c r="AO133"/>
  <c r="AO141"/>
  <c r="AO149"/>
  <c r="AO157"/>
  <c r="AO165"/>
  <c r="AO173"/>
  <c r="AO181"/>
  <c r="AO189"/>
  <c r="AO197"/>
  <c r="AO43"/>
  <c r="AO116"/>
  <c r="AO124"/>
  <c r="AO132"/>
  <c r="AO140"/>
  <c r="AO148"/>
  <c r="AO156"/>
  <c r="AO164"/>
  <c r="AO172"/>
  <c r="AO180"/>
  <c r="AO188"/>
  <c r="AO196"/>
  <c r="AO102"/>
  <c r="AO95"/>
  <c r="AO98"/>
  <c r="AO74"/>
  <c r="AO63"/>
  <c r="AO87"/>
  <c r="I69"/>
  <c r="I53"/>
  <c r="AG80"/>
  <c r="W91"/>
  <c r="AD56"/>
  <c r="W70"/>
  <c r="AG66"/>
  <c r="R84"/>
  <c r="AB84" s="1"/>
  <c r="AB48"/>
  <c r="W50"/>
  <c r="M78"/>
  <c r="AG78" s="1"/>
  <c r="AG58"/>
  <c r="AB69"/>
  <c r="D72"/>
  <c r="V72" s="1"/>
  <c r="W100"/>
  <c r="AG102"/>
  <c r="AB111"/>
  <c r="I89"/>
  <c r="I63"/>
  <c r="I41"/>
  <c r="I109"/>
  <c r="I13" i="18"/>
  <c r="I17" s="1"/>
  <c r="I11"/>
  <c r="E19" i="20"/>
  <c r="AO199" i="5"/>
  <c r="AN194"/>
  <c r="AO183"/>
  <c r="AN178"/>
  <c r="AO167"/>
  <c r="AN162"/>
  <c r="AO151"/>
  <c r="AN146"/>
  <c r="AO135"/>
  <c r="AN130"/>
  <c r="AO119"/>
  <c r="AN114"/>
  <c r="P59"/>
  <c r="Z59" s="1"/>
  <c r="AB59"/>
  <c r="R59"/>
  <c r="I59"/>
  <c r="R48"/>
  <c r="P48"/>
  <c r="Z48" s="1"/>
  <c r="D62"/>
  <c r="D68"/>
  <c r="P73"/>
  <c r="D73"/>
  <c r="AB63"/>
  <c r="R63"/>
  <c r="T51"/>
  <c r="AD51" s="1"/>
  <c r="AB51"/>
  <c r="I95"/>
  <c r="AH95"/>
  <c r="AG105"/>
  <c r="I105"/>
  <c r="R74"/>
  <c r="AB74" s="1"/>
  <c r="R91"/>
  <c r="AB91" s="1"/>
  <c r="AB46"/>
  <c r="AB52"/>
  <c r="R103"/>
  <c r="AB103" s="1"/>
  <c r="AB92"/>
  <c r="R43"/>
  <c r="AB43" s="1"/>
  <c r="AB64"/>
  <c r="R46"/>
  <c r="R92"/>
  <c r="AB87"/>
  <c r="R64"/>
  <c r="AB76"/>
  <c r="R42"/>
  <c r="AB42" s="1"/>
  <c r="R60"/>
  <c r="AB60" s="1"/>
  <c r="AB65"/>
  <c r="AB47"/>
  <c r="P74"/>
  <c r="Z74" s="1"/>
  <c r="Z64"/>
  <c r="P60"/>
  <c r="Z60" s="1"/>
  <c r="P65"/>
  <c r="Z65" s="1"/>
  <c r="P87"/>
  <c r="Z87" s="1"/>
  <c r="Z92"/>
  <c r="P64"/>
  <c r="Z47"/>
  <c r="P103"/>
  <c r="Z103" s="1"/>
  <c r="Z43"/>
  <c r="P52"/>
  <c r="Z52" s="1"/>
  <c r="P46"/>
  <c r="Z46" s="1"/>
  <c r="AD109"/>
  <c r="P105"/>
  <c r="R105"/>
  <c r="AB105" s="1"/>
  <c r="AD105"/>
  <c r="D101"/>
  <c r="D97"/>
  <c r="M97" s="1"/>
  <c r="T97"/>
  <c r="AD97" s="1"/>
  <c r="D93"/>
  <c r="P93"/>
  <c r="T93"/>
  <c r="Z66"/>
  <c r="I73"/>
  <c r="I43"/>
  <c r="AH111"/>
  <c r="AG49"/>
  <c r="AG51"/>
  <c r="AD66"/>
  <c r="AG70"/>
  <c r="M65"/>
  <c r="AG65" s="1"/>
  <c r="M72"/>
  <c r="Z56"/>
  <c r="AG57"/>
  <c r="M71"/>
  <c r="AG71" s="1"/>
  <c r="M89"/>
  <c r="W78"/>
  <c r="AG104"/>
  <c r="D44"/>
  <c r="V44" s="1"/>
  <c r="R99"/>
  <c r="I75"/>
  <c r="I47"/>
  <c r="I42"/>
  <c r="R29" i="14"/>
  <c r="S29" s="1"/>
  <c r="AO194" i="5"/>
  <c r="AN189"/>
  <c r="AO178"/>
  <c r="AN173"/>
  <c r="AO162"/>
  <c r="AN157"/>
  <c r="AO146"/>
  <c r="AN141"/>
  <c r="AO130"/>
  <c r="AN125"/>
  <c r="AO114"/>
  <c r="O34"/>
  <c r="AP201"/>
  <c r="AP193"/>
  <c r="AP185"/>
  <c r="AP177"/>
  <c r="AP169"/>
  <c r="AP161"/>
  <c r="AP153"/>
  <c r="AP145"/>
  <c r="AP137"/>
  <c r="AP129"/>
  <c r="AP121"/>
  <c r="AP113"/>
  <c r="AP194"/>
  <c r="AP186"/>
  <c r="AP178"/>
  <c r="AP170"/>
  <c r="AP162"/>
  <c r="AP154"/>
  <c r="AP146"/>
  <c r="AP138"/>
  <c r="AP130"/>
  <c r="AP122"/>
  <c r="AP114"/>
  <c r="O33"/>
  <c r="AP197"/>
  <c r="AP189"/>
  <c r="AP181"/>
  <c r="AP173"/>
  <c r="AP165"/>
  <c r="AP157"/>
  <c r="AP149"/>
  <c r="AP141"/>
  <c r="AP133"/>
  <c r="AP125"/>
  <c r="AP117"/>
  <c r="AP200"/>
  <c r="AP192"/>
  <c r="AP184"/>
  <c r="AP176"/>
  <c r="AP168"/>
  <c r="AP160"/>
  <c r="AP152"/>
  <c r="AP144"/>
  <c r="AP136"/>
  <c r="AP128"/>
  <c r="AP120"/>
  <c r="H5" i="21" l="1"/>
  <c r="D4" i="5"/>
  <c r="D5"/>
  <c r="D12" s="1"/>
  <c r="D13" s="1"/>
  <c r="J81"/>
  <c r="H81" s="1"/>
  <c r="G81" s="1"/>
  <c r="AG110"/>
  <c r="W110"/>
  <c r="AD88"/>
  <c r="P62"/>
  <c r="Z62" s="1"/>
  <c r="Y62"/>
  <c r="M62"/>
  <c r="W62" s="1"/>
  <c r="O62"/>
  <c r="T62"/>
  <c r="AD62" s="1"/>
  <c r="O73"/>
  <c r="Z73"/>
  <c r="AD73"/>
  <c r="R73"/>
  <c r="AB73" s="1"/>
  <c r="Y73"/>
  <c r="AB106"/>
  <c r="P106"/>
  <c r="Z106" s="1"/>
  <c r="AF106"/>
  <c r="W19"/>
  <c r="W18"/>
  <c r="AB82"/>
  <c r="P82"/>
  <c r="Z82" s="1"/>
  <c r="AG82"/>
  <c r="AA82"/>
  <c r="AO82"/>
  <c r="G4"/>
  <c r="G5"/>
  <c r="G12" s="1"/>
  <c r="G13" s="1"/>
  <c r="AG84"/>
  <c r="AG83"/>
  <c r="W45"/>
  <c r="W87"/>
  <c r="W59"/>
  <c r="AG61"/>
  <c r="M107"/>
  <c r="W58"/>
  <c r="V14"/>
  <c r="M85"/>
  <c r="AG85" s="1"/>
  <c r="M83"/>
  <c r="W83" s="1"/>
  <c r="AG69"/>
  <c r="W79"/>
  <c r="W63"/>
  <c r="AD77"/>
  <c r="W77"/>
  <c r="T77"/>
  <c r="X52"/>
  <c r="J52" s="1"/>
  <c r="H52" s="1"/>
  <c r="G52" s="1"/>
  <c r="O58"/>
  <c r="Y79"/>
  <c r="M73"/>
  <c r="AG73" s="1"/>
  <c r="V69"/>
  <c r="AF41"/>
  <c r="V62"/>
  <c r="AF62" s="1"/>
  <c r="AO66"/>
  <c r="AC88"/>
  <c r="AC68"/>
  <c r="S62"/>
  <c r="AC62" s="1"/>
  <c r="O109"/>
  <c r="Y109" s="1"/>
  <c r="AF89"/>
  <c r="V103"/>
  <c r="AF103" s="1"/>
  <c r="AF50"/>
  <c r="V77"/>
  <c r="O95"/>
  <c r="O94"/>
  <c r="P44"/>
  <c r="Z44" s="1"/>
  <c r="Y51"/>
  <c r="M106"/>
  <c r="W106" s="1"/>
  <c r="AH110"/>
  <c r="V47"/>
  <c r="AF61"/>
  <c r="J61" s="1"/>
  <c r="H61" s="1"/>
  <c r="G61" s="1"/>
  <c r="V90"/>
  <c r="AF90" s="1"/>
  <c r="V89"/>
  <c r="AE85"/>
  <c r="AB62"/>
  <c r="AG81"/>
  <c r="AO55"/>
  <c r="O67"/>
  <c r="O89"/>
  <c r="Y89" s="1"/>
  <c r="J89" s="1"/>
  <c r="H89" s="1"/>
  <c r="G89" s="1"/>
  <c r="O74"/>
  <c r="Y74" s="1"/>
  <c r="O72"/>
  <c r="O92"/>
  <c r="Y92" s="1"/>
  <c r="O64"/>
  <c r="O102"/>
  <c r="AG99"/>
  <c r="W56"/>
  <c r="AG108"/>
  <c r="O82"/>
  <c r="T110"/>
  <c r="W97"/>
  <c r="AG94"/>
  <c r="AG95"/>
  <c r="AH62"/>
  <c r="AH76"/>
  <c r="T80"/>
  <c r="AD80" s="1"/>
  <c r="AO110"/>
  <c r="AO62"/>
  <c r="N73"/>
  <c r="AH73" s="1"/>
  <c r="X44"/>
  <c r="N97"/>
  <c r="X97" s="1"/>
  <c r="X74"/>
  <c r="J74" s="1"/>
  <c r="H74" s="1"/>
  <c r="G74" s="1"/>
  <c r="X98"/>
  <c r="J98" s="1"/>
  <c r="H98" s="1"/>
  <c r="G98" s="1"/>
  <c r="Q73"/>
  <c r="AA73" s="1"/>
  <c r="Q49"/>
  <c r="AA49" s="1"/>
  <c r="Q97"/>
  <c r="AA97" s="1"/>
  <c r="V86"/>
  <c r="AF86" s="1"/>
  <c r="V106"/>
  <c r="V85"/>
  <c r="AF98"/>
  <c r="V87"/>
  <c r="AF87" s="1"/>
  <c r="V98"/>
  <c r="V102"/>
  <c r="V67"/>
  <c r="AF44"/>
  <c r="V109"/>
  <c r="AF109" s="1"/>
  <c r="AE83"/>
  <c r="AE81"/>
  <c r="AO109"/>
  <c r="U44"/>
  <c r="W65"/>
  <c r="S75"/>
  <c r="AC75" s="1"/>
  <c r="S82"/>
  <c r="AC82" s="1"/>
  <c r="S88"/>
  <c r="AB88"/>
  <c r="O108"/>
  <c r="AH85"/>
  <c r="D6"/>
  <c r="O53"/>
  <c r="Y71"/>
  <c r="O87"/>
  <c r="Y87" s="1"/>
  <c r="Y52"/>
  <c r="O47"/>
  <c r="Y47" s="1"/>
  <c r="J47" s="1"/>
  <c r="H47" s="1"/>
  <c r="G47" s="1"/>
  <c r="O85"/>
  <c r="O71"/>
  <c r="O54"/>
  <c r="O98"/>
  <c r="Y98" s="1"/>
  <c r="O51"/>
  <c r="O69"/>
  <c r="Y60"/>
  <c r="J60" s="1"/>
  <c r="H60" s="1"/>
  <c r="G60" s="1"/>
  <c r="Y102"/>
  <c r="O107"/>
  <c r="O103"/>
  <c r="O105"/>
  <c r="Y105" s="1"/>
  <c r="J105" s="1"/>
  <c r="H105" s="1"/>
  <c r="G105" s="1"/>
  <c r="O43"/>
  <c r="Y43" s="1"/>
  <c r="J43" s="1"/>
  <c r="H43" s="1"/>
  <c r="G43" s="1"/>
  <c r="O55"/>
  <c r="Y55" s="1"/>
  <c r="X13"/>
  <c r="T68"/>
  <c r="AD68" s="1"/>
  <c r="AG68"/>
  <c r="N68"/>
  <c r="AH68" s="1"/>
  <c r="M68"/>
  <c r="W68" s="1"/>
  <c r="O68"/>
  <c r="P90"/>
  <c r="Z90" s="1"/>
  <c r="W90"/>
  <c r="AA90"/>
  <c r="M90"/>
  <c r="AG90" s="1"/>
  <c r="R93"/>
  <c r="AB93" s="1"/>
  <c r="AD93"/>
  <c r="Z93"/>
  <c r="N93"/>
  <c r="T75"/>
  <c r="AD75" s="1"/>
  <c r="N75"/>
  <c r="X75" s="1"/>
  <c r="R75"/>
  <c r="AB75" s="1"/>
  <c r="Y75"/>
  <c r="AO80"/>
  <c r="Q80"/>
  <c r="AA80" s="1"/>
  <c r="V12"/>
  <c r="Y12"/>
  <c r="AA12"/>
  <c r="W12"/>
  <c r="AA13"/>
  <c r="Y46"/>
  <c r="Y58"/>
  <c r="O49"/>
  <c r="Y85"/>
  <c r="R101"/>
  <c r="O83"/>
  <c r="Y83" s="1"/>
  <c r="Y100"/>
  <c r="Y69"/>
  <c r="W46"/>
  <c r="V111"/>
  <c r="AF81"/>
  <c r="AF70"/>
  <c r="AF83"/>
  <c r="AF48"/>
  <c r="Y67"/>
  <c r="J67" s="1"/>
  <c r="H67" s="1"/>
  <c r="G67" s="1"/>
  <c r="O104"/>
  <c r="Y104" s="1"/>
  <c r="J104" s="1"/>
  <c r="H104" s="1"/>
  <c r="G104" s="1"/>
  <c r="O111"/>
  <c r="Y111" s="1"/>
  <c r="J111" s="1"/>
  <c r="H111" s="1"/>
  <c r="G111" s="1"/>
  <c r="O76"/>
  <c r="AG88"/>
  <c r="AH56"/>
  <c r="X84"/>
  <c r="X61"/>
  <c r="V68"/>
  <c r="V52"/>
  <c r="AF52" s="1"/>
  <c r="AF69"/>
  <c r="J69" s="1"/>
  <c r="H69" s="1"/>
  <c r="G69" s="1"/>
  <c r="AF93"/>
  <c r="X80"/>
  <c r="S101"/>
  <c r="AC101" s="1"/>
  <c r="O97"/>
  <c r="W54"/>
  <c r="AE72"/>
  <c r="N44"/>
  <c r="Q62"/>
  <c r="AF95"/>
  <c r="V66"/>
  <c r="AF66" s="1"/>
  <c r="AF97"/>
  <c r="V99"/>
  <c r="AF99" s="1"/>
  <c r="J99" s="1"/>
  <c r="H99" s="1"/>
  <c r="G99" s="1"/>
  <c r="AF102"/>
  <c r="J102" s="1"/>
  <c r="H102" s="1"/>
  <c r="G102" s="1"/>
  <c r="O66"/>
  <c r="Y66" s="1"/>
  <c r="T73"/>
  <c r="R62"/>
  <c r="Y94"/>
  <c r="J94" s="1"/>
  <c r="H94" s="1"/>
  <c r="G94" s="1"/>
  <c r="Y76"/>
  <c r="AO106"/>
  <c r="O81"/>
  <c r="O96"/>
  <c r="Y82"/>
  <c r="J82" s="1"/>
  <c r="H82" s="1"/>
  <c r="G82" s="1"/>
  <c r="O46"/>
  <c r="Y103"/>
  <c r="Y72"/>
  <c r="Y97"/>
  <c r="AD82"/>
  <c r="Y53"/>
  <c r="R72"/>
  <c r="AG75"/>
  <c r="AD106"/>
  <c r="M88"/>
  <c r="W88" s="1"/>
  <c r="AO51"/>
  <c r="Y96"/>
  <c r="J96" s="1"/>
  <c r="H96" s="1"/>
  <c r="G96" s="1"/>
  <c r="AE110"/>
  <c r="AH45"/>
  <c r="AH82"/>
  <c r="AH90"/>
  <c r="AO89"/>
  <c r="W71"/>
  <c r="J71" s="1"/>
  <c r="H71" s="1"/>
  <c r="G71" s="1"/>
  <c r="AG60"/>
  <c r="Y41"/>
  <c r="X64"/>
  <c r="J64" s="1"/>
  <c r="H64" s="1"/>
  <c r="G64" s="1"/>
  <c r="X55"/>
  <c r="J55" s="1"/>
  <c r="H55" s="1"/>
  <c r="G55" s="1"/>
  <c r="Q44"/>
  <c r="AA44" s="1"/>
  <c r="AA110"/>
  <c r="V83"/>
  <c r="V61"/>
  <c r="AF85"/>
  <c r="V110"/>
  <c r="V63"/>
  <c r="AF63" s="1"/>
  <c r="AF100"/>
  <c r="V84"/>
  <c r="AF84" s="1"/>
  <c r="V48"/>
  <c r="V78"/>
  <c r="V94"/>
  <c r="AF67"/>
  <c r="U68"/>
  <c r="AE68" s="1"/>
  <c r="U93"/>
  <c r="AO93" s="1"/>
  <c r="AO104"/>
  <c r="AO50"/>
  <c r="W103"/>
  <c r="AB12"/>
  <c r="S68"/>
  <c r="AC86"/>
  <c r="S90"/>
  <c r="AC90" s="1"/>
  <c r="AG74"/>
  <c r="P77"/>
  <c r="T88"/>
  <c r="AH108"/>
  <c r="X109"/>
  <c r="W13"/>
  <c r="AO56"/>
  <c r="AE56"/>
  <c r="O44"/>
  <c r="M44"/>
  <c r="W44" s="1"/>
  <c r="J44" s="1"/>
  <c r="H44" s="1"/>
  <c r="G44" s="1"/>
  <c r="Y44"/>
  <c r="AC44"/>
  <c r="AH44"/>
  <c r="R44"/>
  <c r="AB44" s="1"/>
  <c r="R97"/>
  <c r="AB97" s="1"/>
  <c r="Z97"/>
  <c r="P97"/>
  <c r="S97"/>
  <c r="W72"/>
  <c r="AB72"/>
  <c r="AG72"/>
  <c r="Z72"/>
  <c r="AH72"/>
  <c r="AD72"/>
  <c r="S49"/>
  <c r="W57"/>
  <c r="S57"/>
  <c r="AC57" s="1"/>
  <c r="AB57"/>
  <c r="Y64"/>
  <c r="Y68"/>
  <c r="V59"/>
  <c r="AF59" s="1"/>
  <c r="AE65"/>
  <c r="O93"/>
  <c r="Y93" s="1"/>
  <c r="O60"/>
  <c r="O45"/>
  <c r="O52"/>
  <c r="H5"/>
  <c r="H12" s="1"/>
  <c r="H13" s="1"/>
  <c r="X100"/>
  <c r="AA101"/>
  <c r="V73"/>
  <c r="V79"/>
  <c r="AF79" s="1"/>
  <c r="V75"/>
  <c r="AF75" s="1"/>
  <c r="AF105"/>
  <c r="V57"/>
  <c r="AF57" s="1"/>
  <c r="AG101"/>
  <c r="M101"/>
  <c r="AG55"/>
  <c r="AA106"/>
  <c r="V80"/>
  <c r="AF80" s="1"/>
  <c r="P101"/>
  <c r="X68"/>
  <c r="X53"/>
  <c r="J53" s="1"/>
  <c r="H53" s="1"/>
  <c r="G53" s="1"/>
  <c r="AA62"/>
  <c r="Q101"/>
  <c r="V97"/>
  <c r="AF110"/>
  <c r="AO57"/>
  <c r="AE106"/>
  <c r="O61"/>
  <c r="R88"/>
  <c r="AH41"/>
  <c r="AG52"/>
  <c r="AG62"/>
  <c r="R68"/>
  <c r="O59"/>
  <c r="Y59" s="1"/>
  <c r="AD90"/>
  <c r="AO101"/>
  <c r="AO100"/>
  <c r="AH93"/>
  <c r="O91"/>
  <c r="Y91" s="1"/>
  <c r="J91" s="1"/>
  <c r="H91" s="1"/>
  <c r="G91" s="1"/>
  <c r="O99"/>
  <c r="Y95"/>
  <c r="J95" s="1"/>
  <c r="H95" s="1"/>
  <c r="G95" s="1"/>
  <c r="O77"/>
  <c r="Y77" s="1"/>
  <c r="Y107"/>
  <c r="T86"/>
  <c r="AD86" s="1"/>
  <c r="T44"/>
  <c r="AD44" s="1"/>
  <c r="O110"/>
  <c r="O90"/>
  <c r="Y90" s="1"/>
  <c r="AD110"/>
  <c r="W101"/>
  <c r="AB41"/>
  <c r="AH92"/>
  <c r="AH97"/>
  <c r="AH104"/>
  <c r="AB80"/>
  <c r="Y108"/>
  <c r="AE90"/>
  <c r="N72"/>
  <c r="X72" s="1"/>
  <c r="J72" s="1"/>
  <c r="H72" s="1"/>
  <c r="G72" s="1"/>
  <c r="N101"/>
  <c r="AH101" s="1"/>
  <c r="X42"/>
  <c r="AA93"/>
  <c r="AA68"/>
  <c r="AA72"/>
  <c r="Q106"/>
  <c r="V100"/>
  <c r="V71"/>
  <c r="AF111"/>
  <c r="V53"/>
  <c r="AF77"/>
  <c r="V104"/>
  <c r="AF104" s="1"/>
  <c r="V43"/>
  <c r="AF43" s="1"/>
  <c r="V101"/>
  <c r="V82"/>
  <c r="V54"/>
  <c r="AF54" s="1"/>
  <c r="V105"/>
  <c r="AF82"/>
  <c r="AF78"/>
  <c r="V65"/>
  <c r="AF65" s="1"/>
  <c r="AO91"/>
  <c r="U88"/>
  <c r="AO88" s="1"/>
  <c r="U73"/>
  <c r="AO73" s="1"/>
  <c r="U97"/>
  <c r="AO78"/>
  <c r="M41"/>
  <c r="S106"/>
  <c r="AC106" s="1"/>
  <c r="AC97"/>
  <c r="AC49"/>
  <c r="AH70"/>
  <c r="T101"/>
  <c r="AB101"/>
  <c r="O101"/>
  <c r="Y101" s="1"/>
  <c r="Z101"/>
  <c r="B17" i="18"/>
  <c r="E17"/>
  <c r="H17"/>
  <c r="C17"/>
  <c r="AF64" i="5"/>
  <c r="V92"/>
  <c r="AF92" s="1"/>
  <c r="V76"/>
  <c r="AF76" s="1"/>
  <c r="AF47"/>
  <c r="V64"/>
  <c r="V60"/>
  <c r="AF60" s="1"/>
  <c r="V96"/>
  <c r="AF96" s="1"/>
  <c r="V58"/>
  <c r="AF58" s="1"/>
  <c r="V42"/>
  <c r="AF42" s="1"/>
  <c r="V56"/>
  <c r="AF56" s="1"/>
  <c r="V50"/>
  <c r="V74"/>
  <c r="AF74" s="1"/>
  <c r="V55"/>
  <c r="AF55" s="1"/>
  <c r="AE88"/>
  <c r="AA88"/>
  <c r="Q88"/>
  <c r="Y88"/>
  <c r="P88"/>
  <c r="Z88" s="1"/>
  <c r="N88"/>
  <c r="X88" s="1"/>
  <c r="V88"/>
  <c r="AF88" s="1"/>
  <c r="O88"/>
  <c r="J16"/>
  <c r="S25"/>
  <c r="I16"/>
  <c r="R86"/>
  <c r="AB86" s="1"/>
  <c r="M86"/>
  <c r="O86"/>
  <c r="Y86"/>
  <c r="N86"/>
  <c r="X86" s="1"/>
  <c r="AA86"/>
  <c r="Y110"/>
  <c r="R110"/>
  <c r="AB110" s="1"/>
  <c r="J110" s="1"/>
  <c r="H110" s="1"/>
  <c r="G110" s="1"/>
  <c r="AC110"/>
  <c r="S110"/>
  <c r="Y19"/>
  <c r="Y18"/>
  <c r="F4"/>
  <c r="AA41"/>
  <c r="O84"/>
  <c r="Y84" s="1"/>
  <c r="X83"/>
  <c r="O48"/>
  <c r="Y48" s="1"/>
  <c r="J48" s="1"/>
  <c r="H48" s="1"/>
  <c r="G48" s="1"/>
  <c r="Y49"/>
  <c r="O100"/>
  <c r="Y61"/>
  <c r="O106"/>
  <c r="Y106" s="1"/>
  <c r="O63"/>
  <c r="Y63" s="1"/>
  <c r="AD101"/>
  <c r="AB68"/>
  <c r="O78"/>
  <c r="Y78" s="1"/>
  <c r="J78" s="1"/>
  <c r="H78" s="1"/>
  <c r="G78" s="1"/>
  <c r="O50"/>
  <c r="Y50" s="1"/>
  <c r="J50" s="1"/>
  <c r="H50" s="1"/>
  <c r="G50" s="1"/>
  <c r="O79"/>
  <c r="N106"/>
  <c r="X106" s="1"/>
  <c r="J106" s="1"/>
  <c r="H106" s="1"/>
  <c r="G106" s="1"/>
  <c r="AF107"/>
  <c r="AE73"/>
  <c r="U101"/>
  <c r="AE101" s="1"/>
  <c r="X46"/>
  <c r="Y54"/>
  <c r="O42"/>
  <c r="Y42" s="1"/>
  <c r="J42" s="1"/>
  <c r="H42" s="1"/>
  <c r="Y45"/>
  <c r="O57"/>
  <c r="Y57" s="1"/>
  <c r="J57" s="1"/>
  <c r="H57" s="1"/>
  <c r="G57" s="1"/>
  <c r="O80"/>
  <c r="Y80" s="1"/>
  <c r="R106"/>
  <c r="U106"/>
  <c r="P68"/>
  <c r="Z68" s="1"/>
  <c r="O70"/>
  <c r="Y70" s="1"/>
  <c r="J70" s="1"/>
  <c r="H70" s="1"/>
  <c r="G70" s="1"/>
  <c r="O65"/>
  <c r="Y65" s="1"/>
  <c r="Y99"/>
  <c r="O56"/>
  <c r="Y56" s="1"/>
  <c r="Y81"/>
  <c r="AG97"/>
  <c r="R90"/>
  <c r="AB90" s="1"/>
  <c r="AG106"/>
  <c r="J76"/>
  <c r="H76" s="1"/>
  <c r="G76" s="1"/>
  <c r="M75"/>
  <c r="W75" s="1"/>
  <c r="AH75"/>
  <c r="N62"/>
  <c r="X62" s="1"/>
  <c r="X93"/>
  <c r="X49"/>
  <c r="Q75"/>
  <c r="AA75" s="1"/>
  <c r="Q68"/>
  <c r="AF72"/>
  <c r="AF45"/>
  <c r="AF68"/>
  <c r="V51"/>
  <c r="AF51" s="1"/>
  <c r="AF101"/>
  <c r="AF53"/>
  <c r="AF73"/>
  <c r="V108"/>
  <c r="AF108" s="1"/>
  <c r="AF71"/>
  <c r="V93"/>
  <c r="AF49"/>
  <c r="AF91"/>
  <c r="AF94"/>
  <c r="AO75"/>
  <c r="AE44"/>
  <c r="U62"/>
  <c r="AE62" s="1"/>
  <c r="U86"/>
  <c r="AE86" s="1"/>
  <c r="U49"/>
  <c r="AO49" s="1"/>
  <c r="AO44"/>
  <c r="AC41"/>
  <c r="S44"/>
  <c r="AG100"/>
  <c r="AG89"/>
  <c r="T57"/>
  <c r="AD57" s="1"/>
  <c r="Z77"/>
  <c r="J108" l="1"/>
  <c r="H108" s="1"/>
  <c r="G108" s="1"/>
  <c r="J88"/>
  <c r="H88" s="1"/>
  <c r="G88" s="1"/>
  <c r="J51"/>
  <c r="H51" s="1"/>
  <c r="G51" s="1"/>
  <c r="J62"/>
  <c r="H62" s="1"/>
  <c r="G62" s="1"/>
  <c r="J68"/>
  <c r="H68" s="1"/>
  <c r="G68" s="1"/>
  <c r="J66"/>
  <c r="H66" s="1"/>
  <c r="G66" s="1"/>
  <c r="J75"/>
  <c r="H75" s="1"/>
  <c r="G75" s="1"/>
  <c r="J90"/>
  <c r="H90" s="1"/>
  <c r="G90" s="1"/>
  <c r="G42"/>
  <c r="J80"/>
  <c r="H80" s="1"/>
  <c r="G80" s="1"/>
  <c r="J77"/>
  <c r="H77" s="1"/>
  <c r="G77" s="1"/>
  <c r="J84"/>
  <c r="H84" s="1"/>
  <c r="G84" s="1"/>
  <c r="J109"/>
  <c r="H109" s="1"/>
  <c r="G109" s="1"/>
  <c r="J92"/>
  <c r="H92" s="1"/>
  <c r="G92" s="1"/>
  <c r="B4"/>
  <c r="B6"/>
  <c r="B5"/>
  <c r="AG41"/>
  <c r="AG107"/>
  <c r="W107"/>
  <c r="J107" s="1"/>
  <c r="H107" s="1"/>
  <c r="G107" s="1"/>
  <c r="X18"/>
  <c r="X19"/>
  <c r="AH86"/>
  <c r="AB19"/>
  <c r="AH88"/>
  <c r="J56"/>
  <c r="H56" s="1"/>
  <c r="G56" s="1"/>
  <c r="W85"/>
  <c r="J85" s="1"/>
  <c r="H85" s="1"/>
  <c r="G85" s="1"/>
  <c r="AA18"/>
  <c r="AA19"/>
  <c r="J65"/>
  <c r="H65" s="1"/>
  <c r="G65" s="1"/>
  <c r="J58"/>
  <c r="H58" s="1"/>
  <c r="G58" s="1"/>
  <c r="AO68"/>
  <c r="W73"/>
  <c r="J73" s="1"/>
  <c r="H73" s="1"/>
  <c r="G73" s="1"/>
  <c r="X73"/>
  <c r="AE49"/>
  <c r="J49" s="1"/>
  <c r="H49" s="1"/>
  <c r="G49" s="1"/>
  <c r="J103"/>
  <c r="H103" s="1"/>
  <c r="G103" s="1"/>
  <c r="AH106"/>
  <c r="W41"/>
  <c r="J41" s="1"/>
  <c r="H41" s="1"/>
  <c r="AG86"/>
  <c r="W86"/>
  <c r="J86" s="1"/>
  <c r="H86" s="1"/>
  <c r="G86" s="1"/>
  <c r="AO97"/>
  <c r="AE97"/>
  <c r="J97" s="1"/>
  <c r="H97" s="1"/>
  <c r="G97" s="1"/>
  <c r="J100"/>
  <c r="H100" s="1"/>
  <c r="G100" s="1"/>
  <c r="J45"/>
  <c r="H45" s="1"/>
  <c r="G45" s="1"/>
  <c r="J83"/>
  <c r="H83" s="1"/>
  <c r="G83" s="1"/>
  <c r="AG44"/>
  <c r="J79"/>
  <c r="H79" s="1"/>
  <c r="G79" s="1"/>
  <c r="J59"/>
  <c r="H59" s="1"/>
  <c r="G59" s="1"/>
  <c r="AO86"/>
  <c r="Z19"/>
  <c r="Z18"/>
  <c r="J54"/>
  <c r="H54" s="1"/>
  <c r="G54" s="1"/>
  <c r="J46"/>
  <c r="H46" s="1"/>
  <c r="G46" s="1"/>
  <c r="X101"/>
  <c r="J101" s="1"/>
  <c r="H101" s="1"/>
  <c r="G101" s="1"/>
  <c r="J87"/>
  <c r="H87" s="1"/>
  <c r="G87" s="1"/>
  <c r="AE93"/>
  <c r="J93" s="1"/>
  <c r="H93" s="1"/>
  <c r="G93" s="1"/>
  <c r="AB18"/>
  <c r="J63"/>
  <c r="H63" s="1"/>
  <c r="G63" s="1"/>
  <c r="B7"/>
  <c r="O25" l="1"/>
  <c r="O24"/>
  <c r="G41"/>
  <c r="I19" s="1"/>
  <c r="O26"/>
  <c r="V18"/>
  <c r="S18" s="1"/>
  <c r="S15" s="1"/>
  <c r="V19"/>
  <c r="S19" s="1"/>
  <c r="B12"/>
  <c r="M14" l="1"/>
  <c r="S16"/>
  <c r="B13"/>
  <c r="I13" s="1"/>
  <c r="I12"/>
  <c r="AQ46" l="1"/>
  <c r="AR46" s="1"/>
  <c r="AQ67"/>
  <c r="AR67" s="1"/>
  <c r="AQ48"/>
  <c r="AR48" s="1"/>
  <c r="AQ80"/>
  <c r="AR80" s="1"/>
  <c r="AQ54"/>
  <c r="AR54" s="1"/>
  <c r="AQ45"/>
  <c r="AR45" s="1"/>
  <c r="AQ63"/>
  <c r="AR63" s="1"/>
  <c r="AQ103"/>
  <c r="AR103" s="1"/>
  <c r="AQ59"/>
  <c r="AR59" s="1"/>
  <c r="AQ65"/>
  <c r="AR65" s="1"/>
  <c r="AQ111"/>
  <c r="AR111" s="1"/>
  <c r="AQ42"/>
  <c r="AR42" s="1"/>
  <c r="AQ53"/>
  <c r="AR53" s="1"/>
  <c r="AQ43"/>
  <c r="AR43" s="1"/>
  <c r="AQ105"/>
  <c r="AR105" s="1"/>
  <c r="AQ98"/>
  <c r="AR98" s="1"/>
  <c r="AQ64"/>
  <c r="AR64" s="1"/>
  <c r="AQ56"/>
  <c r="AR56" s="1"/>
  <c r="AQ47"/>
  <c r="AR47" s="1"/>
  <c r="AQ77"/>
  <c r="AR77" s="1"/>
  <c r="AQ57"/>
  <c r="AR57" s="1"/>
  <c r="AQ71"/>
  <c r="AR71" s="1"/>
  <c r="AQ87"/>
  <c r="AR87" s="1"/>
  <c r="AQ102"/>
  <c r="AR102" s="1"/>
  <c r="AQ79"/>
  <c r="AR79" s="1"/>
  <c r="AQ58"/>
  <c r="AR58" s="1"/>
  <c r="AQ78"/>
  <c r="AR78" s="1"/>
  <c r="AQ96"/>
  <c r="AR96" s="1"/>
  <c r="AQ76"/>
  <c r="AR76" s="1"/>
  <c r="AQ83"/>
  <c r="AR83" s="1"/>
  <c r="AQ94"/>
  <c r="AR94" s="1"/>
  <c r="AQ52"/>
  <c r="AR52" s="1"/>
  <c r="AQ72"/>
  <c r="AR72" s="1"/>
  <c r="AQ73"/>
  <c r="AR73" s="1"/>
  <c r="AQ75"/>
  <c r="AR75" s="1"/>
  <c r="AQ51"/>
  <c r="AR51" s="1"/>
  <c r="AQ109"/>
  <c r="AR109" s="1"/>
  <c r="AQ74"/>
  <c r="AR74" s="1"/>
  <c r="AQ100"/>
  <c r="AR100" s="1"/>
  <c r="AQ50"/>
  <c r="AR50" s="1"/>
  <c r="AQ61"/>
  <c r="AR61" s="1"/>
  <c r="AQ110"/>
  <c r="AR110" s="1"/>
  <c r="AQ99"/>
  <c r="AR99" s="1"/>
  <c r="AQ92"/>
  <c r="AR92" s="1"/>
  <c r="AQ88"/>
  <c r="AR88" s="1"/>
  <c r="AQ69"/>
  <c r="AR69" s="1"/>
  <c r="AQ62"/>
  <c r="AR62" s="1"/>
  <c r="AQ70"/>
  <c r="AR70" s="1"/>
  <c r="AQ81"/>
  <c r="AR81" s="1"/>
  <c r="AQ89"/>
  <c r="AR89" s="1"/>
  <c r="AQ93"/>
  <c r="AR93" s="1"/>
  <c r="AQ85"/>
  <c r="AR85" s="1"/>
  <c r="AQ101"/>
  <c r="AR101" s="1"/>
  <c r="AQ108"/>
  <c r="AR108" s="1"/>
  <c r="AQ90"/>
  <c r="AR90" s="1"/>
  <c r="AQ104"/>
  <c r="AR104" s="1"/>
  <c r="AQ91"/>
  <c r="AR91" s="1"/>
  <c r="AQ60"/>
  <c r="AR60" s="1"/>
  <c r="AQ84"/>
  <c r="AR84" s="1"/>
  <c r="AQ82"/>
  <c r="AR82" s="1"/>
  <c r="AQ66"/>
  <c r="AR66" s="1"/>
  <c r="AQ95"/>
  <c r="AR95" s="1"/>
  <c r="AQ55"/>
  <c r="AR55" s="1"/>
  <c r="AQ49"/>
  <c r="AR49" s="1"/>
  <c r="AQ44"/>
  <c r="AR44" s="1"/>
  <c r="AQ86"/>
  <c r="AR86" s="1"/>
  <c r="AQ107"/>
  <c r="AR107" s="1"/>
  <c r="AQ41"/>
  <c r="AR41" s="1"/>
  <c r="AQ68"/>
  <c r="AR68" s="1"/>
  <c r="AQ106"/>
  <c r="AR106" s="1"/>
  <c r="AQ97"/>
  <c r="AR97" s="1"/>
  <c r="I14"/>
  <c r="I17"/>
  <c r="O27" s="1"/>
  <c r="S20"/>
</calcChain>
</file>

<file path=xl/comments1.xml><?xml version="1.0" encoding="utf-8"?>
<comments xmlns="http://schemas.openxmlformats.org/spreadsheetml/2006/main">
  <authors>
    <author>Gutz</author>
    <author>Ivano Gebhardt Rolf Gutz</author>
  </authors>
  <commentList>
    <comment ref="Q14" authorId="0">
      <text>
        <r>
          <rPr>
            <b/>
            <sz val="13"/>
            <color indexed="81"/>
            <rFont val="Tahoma"/>
            <family val="2"/>
          </rPr>
          <t xml:space="preserve">End user license agreement
</t>
        </r>
        <r>
          <rPr>
            <sz val="13"/>
            <color indexed="81"/>
            <rFont val="Tahoma"/>
            <family val="2"/>
          </rPr>
          <t xml:space="preserve">
</t>
        </r>
        <r>
          <rPr>
            <sz val="11"/>
            <color indexed="81"/>
            <rFont val="Tahoma"/>
            <family val="2"/>
          </rPr>
          <t>Thank you for your interest in the CurTiPot version 3 freeware, a workbook of spreadsheets for Excel (proprietary software of Microsoft), authored by Dr. Ivano G. R. Gutz, Professor of the Institute of Chemistry of the University of São Paulo, São Paulo, Brazil, now on referred as Author of CurTiPot. Please examine the License Agreement before you start using CurTiPot. 
Personal or Educational Use Only
The Author grants you a non-exclusive and non-transferable freeware license of CurTiPot for your personal or educational use at home, in classroom or in academic laboratories. If you intend to make commercial use of CurTiPot, including but not limited to any profitable non-educational activity or selling or distributing CurTiPot for payment, you must obtain a written permission from the Author in advance. 
Restrictions
You may introduce modifications in the spreadsheets to suit your needs, but you are not allowed to remove the original notices about the intellectual property of the workbook and macros, in special but not only from the front page. You shall not distribute copies of modified versions without approval by the Author of the clearly identified changes. 
Distribution
You may share unmodified copies of CurTiPot with students and colleagues that do not have access to the Internet, if they agree to be bound to these Terms and Conditions and as long as you take all reasonable precautions to avoid exposure of your copy to viruses. To minimize risks, it is highly advisable, to use only updated copies obtained from the Author’s download page. 
Changes to Terms and Conditions
The author reserves the right to update CurTiPot and to modify these Terms and Conditions at its sole discretion, without notice or liability to you. You agree to be bound by these Terms and Conditions, as modified. Please download updated versions of CurTiPot from time to time and review the Terms and Conditions.
Disclaimer of Warranties
The Author disclaims any responsibility for any harm resulting from your use (or use by your colleagues or students) of CurTiPot and third party software used in conjunction with it. CurTiPot is provided "AS IS," with no warranties whatsoever, express, implied, and statutory, including, without limitation, the warranties of merchantability, fitness for a particular purpose, and non-infringement of proprietary rights. The author also disclaims any warranties regarding the security, reliability, accuracy, stability, convergence and performance of CurTiPot. You understand and agree that you download and/or use CurTiPot at your own discretion and risk and that you will be solely responsible for any consequences of incorrect information or results obtained with CurTiPot. This license does not entitle the Licensee to receive from the Author any extra documentation not contained in the program file, support or assistance by any means, or enhancements or updates of CurTiPot other than those made available for download at the Author’s site.
Limitation of Liability
Under no circumstances shall the Author or his employer be liable to any user on account its use or misuse of CurTiPot.
If you accept the terms and conditions given above, you are entitled to use CurTiPot free of charge for unlimited time and number of uses. The Author will enjoy your comments, error reports and suggestions by e-mail.</t>
        </r>
        <r>
          <rPr>
            <sz val="12"/>
            <color indexed="81"/>
            <rFont val="Tahoma"/>
            <family val="2"/>
          </rPr>
          <t xml:space="preserve">
</t>
        </r>
      </text>
    </comment>
    <comment ref="Q34" authorId="1">
      <text>
        <r>
          <rPr>
            <sz val="12"/>
            <color indexed="81"/>
            <rFont val="Tahoma"/>
            <family val="2"/>
          </rPr>
          <t xml:space="preserve">
The acronym </t>
        </r>
        <r>
          <rPr>
            <b/>
            <sz val="12"/>
            <color indexed="81"/>
            <rFont val="Bookman Old Style"/>
            <family val="1"/>
          </rPr>
          <t>CurTiPot</t>
        </r>
        <r>
          <rPr>
            <sz val="12"/>
            <color indexed="81"/>
            <rFont val="Tahoma"/>
            <family val="2"/>
          </rPr>
          <t xml:space="preserve"> means </t>
        </r>
        <r>
          <rPr>
            <b/>
            <sz val="12"/>
            <color indexed="81"/>
            <rFont val="Tahoma"/>
            <family val="2"/>
          </rPr>
          <t>Pot</t>
        </r>
        <r>
          <rPr>
            <sz val="12"/>
            <color indexed="81"/>
            <rFont val="Tahoma"/>
            <family val="2"/>
          </rPr>
          <t xml:space="preserve">entiometric </t>
        </r>
        <r>
          <rPr>
            <b/>
            <sz val="12"/>
            <color indexed="81"/>
            <rFont val="Tahoma"/>
            <family val="2"/>
          </rPr>
          <t>Ti</t>
        </r>
        <r>
          <rPr>
            <sz val="12"/>
            <color indexed="81"/>
            <rFont val="Tahoma"/>
            <family val="2"/>
          </rPr>
          <t xml:space="preserve">tration </t>
        </r>
        <r>
          <rPr>
            <b/>
            <sz val="12"/>
            <color indexed="81"/>
            <rFont val="Tahoma"/>
            <family val="2"/>
          </rPr>
          <t>Cur</t>
        </r>
        <r>
          <rPr>
            <sz val="12"/>
            <color indexed="81"/>
            <rFont val="Tahoma"/>
            <family val="2"/>
          </rPr>
          <t xml:space="preserve">ves (in reversed order). 
Originally written in Turbo Basic (Borland) for DOS (Microsoft) and first demonstrated and distributed during the 15th Annual Meeting of the Brazilian Chemical Society in May 1992, </t>
        </r>
        <r>
          <rPr>
            <b/>
            <sz val="12"/>
            <color indexed="81"/>
            <rFont val="Tahoma"/>
            <family val="2"/>
          </rPr>
          <t>versions 1 and 2</t>
        </r>
        <r>
          <rPr>
            <sz val="12"/>
            <color indexed="81"/>
            <rFont val="Tahoma"/>
            <family val="2"/>
          </rPr>
          <t xml:space="preserve"> of CurTiPot, in </t>
        </r>
        <r>
          <rPr>
            <b/>
            <sz val="12"/>
            <color indexed="81"/>
            <rFont val="Tahoma"/>
            <family val="2"/>
          </rPr>
          <t>Portuguese,</t>
        </r>
        <r>
          <rPr>
            <sz val="12"/>
            <color indexed="81"/>
            <rFont val="Tahoma"/>
            <family val="2"/>
          </rPr>
          <t xml:space="preserve"> became widespread only in Brazil.
</t>
        </r>
        <r>
          <rPr>
            <b/>
            <sz val="12"/>
            <color indexed="81"/>
            <rFont val="Tahoma"/>
            <family val="2"/>
          </rPr>
          <t>Version 3</t>
        </r>
        <r>
          <rPr>
            <sz val="12"/>
            <color indexed="81"/>
            <rFont val="Tahoma"/>
            <family val="2"/>
          </rPr>
          <t xml:space="preserve"> was the first to be translated to </t>
        </r>
        <r>
          <rPr>
            <b/>
            <sz val="12"/>
            <color indexed="81"/>
            <rFont val="Tahoma"/>
            <family val="2"/>
          </rPr>
          <t>English</t>
        </r>
        <r>
          <rPr>
            <sz val="12"/>
            <color indexed="81"/>
            <rFont val="Tahoma"/>
            <family val="2"/>
          </rPr>
          <t xml:space="preserve">. Launched in 2006, it had as main novelties the migration to Microsoft </t>
        </r>
        <r>
          <rPr>
            <b/>
            <sz val="12"/>
            <color indexed="81"/>
            <rFont val="Tahoma"/>
            <family val="2"/>
          </rPr>
          <t>Excel</t>
        </r>
        <r>
          <rPr>
            <sz val="12"/>
            <color indexed="81"/>
            <rFont val="Tahoma"/>
            <family val="2"/>
          </rPr>
          <t>, a separate</t>
        </r>
        <r>
          <rPr>
            <b/>
            <sz val="12"/>
            <color indexed="81"/>
            <rFont val="Tahoma"/>
            <family val="2"/>
          </rPr>
          <t xml:space="preserve"> pH calc</t>
        </r>
        <r>
          <rPr>
            <sz val="12"/>
            <color indexed="81"/>
            <rFont val="Tahoma"/>
            <family val="2"/>
          </rPr>
          <t xml:space="preserve">ulation module and an advanced </t>
        </r>
        <r>
          <rPr>
            <b/>
            <sz val="12"/>
            <color indexed="81"/>
            <rFont val="Tahoma"/>
            <family val="2"/>
          </rPr>
          <t>Regression</t>
        </r>
        <r>
          <rPr>
            <sz val="12"/>
            <color indexed="81"/>
            <rFont val="Tahoma"/>
            <family val="2"/>
          </rPr>
          <t xml:space="preserve"> module for titration data analysis.
From 2006 onwards </t>
        </r>
        <r>
          <rPr>
            <b/>
            <sz val="12"/>
            <color indexed="81"/>
            <rFont val="Bookman Old Style"/>
            <family val="1"/>
          </rPr>
          <t>CurTiPot</t>
        </r>
        <r>
          <rPr>
            <sz val="12"/>
            <color indexed="81"/>
            <rFont val="Tahoma"/>
            <family val="2"/>
          </rPr>
          <t xml:space="preserve"> has reached over </t>
        </r>
        <r>
          <rPr>
            <b/>
            <sz val="12"/>
            <color indexed="81"/>
            <rFont val="Tahoma"/>
            <family val="2"/>
          </rPr>
          <t>one hundred countries</t>
        </r>
        <r>
          <rPr>
            <sz val="12"/>
            <color indexed="81"/>
            <rFont val="Tahoma"/>
            <family val="2"/>
          </rPr>
          <t xml:space="preserve"> at a rate of about </t>
        </r>
        <r>
          <rPr>
            <b/>
            <sz val="12"/>
            <color indexed="81"/>
            <rFont val="Tahoma"/>
            <family val="2"/>
          </rPr>
          <t>one thousand downloads monthly</t>
        </r>
        <r>
          <rPr>
            <sz val="12"/>
            <color indexed="81"/>
            <rFont val="Tahoma"/>
            <family val="2"/>
          </rPr>
          <t xml:space="preserve"> from the author's site http://www2.iq.usp.br/docente/gutz/Curtipot_.html, as tracked by </t>
        </r>
        <r>
          <rPr>
            <u/>
            <sz val="12"/>
            <color indexed="81"/>
            <rFont val="Tahoma"/>
            <family val="2"/>
          </rPr>
          <t>Sitemeter</t>
        </r>
        <r>
          <rPr>
            <sz val="12"/>
            <color indexed="81"/>
            <rFont val="Tahoma"/>
            <family val="2"/>
          </rPr>
          <t xml:space="preserve"> and </t>
        </r>
        <r>
          <rPr>
            <u/>
            <sz val="12"/>
            <color indexed="81"/>
            <rFont val="Tahoma"/>
            <family val="2"/>
          </rPr>
          <t>Google Analytics</t>
        </r>
        <r>
          <rPr>
            <sz val="12"/>
            <color indexed="81"/>
            <rFont val="Tahoma"/>
            <family val="2"/>
          </rPr>
          <t xml:space="preserve">. Many copies were also downloaded from software distribution sites. 
Besides commercial internet service providers and chemical and pharmaceutical industries' own networks, many customers used the networks of over 200 universities for downloads, with Universidade de Barcelona (Spain), Universidade de São Paulo (Brazil) and Massachusetts Institute of Technology (USA) at the top of the rank in 2014. </t>
        </r>
        <r>
          <rPr>
            <sz val="12"/>
            <color indexed="81"/>
            <rFont val="Bookman Old Style"/>
            <family val="1"/>
          </rPr>
          <t>CurTiPot</t>
        </r>
        <r>
          <rPr>
            <sz val="12"/>
            <color indexed="81"/>
            <rFont val="Tahoma"/>
            <family val="2"/>
          </rPr>
          <t xml:space="preserve"> has been also frequently used and cited in papers and thesis: http://scholar.google.com/scholar?hl=en-USR&amp;as_sdt=0,5&amp;q=curtipot
Please email feedback to gutz@iq.usp.br and if you are satisfied with </t>
        </r>
        <r>
          <rPr>
            <b/>
            <sz val="12"/>
            <color indexed="81"/>
            <rFont val="Bookman Old Style"/>
            <family val="1"/>
          </rPr>
          <t>CurTiPot</t>
        </r>
        <r>
          <rPr>
            <sz val="12"/>
            <color indexed="81"/>
            <rFont val="Tahoma"/>
            <family val="2"/>
          </rPr>
          <t>, let others know by linking to http://www2.iq.usp.br/docente/gutz/ Curtipot_.html .</t>
        </r>
        <r>
          <rPr>
            <sz val="14"/>
            <color indexed="81"/>
            <rFont val="Tahoma"/>
            <family val="2"/>
          </rPr>
          <t xml:space="preserve">
</t>
        </r>
        <r>
          <rPr>
            <sz val="12"/>
            <color indexed="81"/>
            <rFont val="Tahoma"/>
            <family val="2"/>
          </rPr>
          <t xml:space="preserve">
                   Ivano G. R. Gutz
                  www2.iq.usp.br/docente/gutz</t>
        </r>
      </text>
    </comment>
  </commentList>
</comments>
</file>

<file path=xl/comments2.xml><?xml version="1.0" encoding="utf-8"?>
<comments xmlns="http://schemas.openxmlformats.org/spreadsheetml/2006/main">
  <authors>
    <author>Gutz</author>
    <author>Ivano Gebhardt Rolf Gutz</author>
    <author>Ivano G. R. Gutz</author>
  </authors>
  <commentList>
    <comment ref="G1" authorId="0">
      <text>
        <r>
          <rPr>
            <b/>
            <sz val="10"/>
            <color indexed="81"/>
            <rFont val="Tahoma"/>
            <family val="2"/>
          </rPr>
          <t>pH Calculator - Fast start</t>
        </r>
        <r>
          <rPr>
            <sz val="10"/>
            <color indexed="81"/>
            <rFont val="Tahoma"/>
            <family val="2"/>
          </rPr>
          <t xml:space="preserve">:
Always use the most recent version available at the author’s site http://www.iq.usp.br/gutz/Curtipot_.html, choosing between CurTiPot and CurTiPot option I – the same full program plus balloons with first steps for beginners.
This module calculates the pH of simple or complex mixtures of aqueous solutions of acids and bases, taking in account exclusively acid-base equilibrium with correction for ionic strength effect  based on the Davies equation. 
- Cell </t>
        </r>
        <r>
          <rPr>
            <b/>
            <sz val="10"/>
            <color indexed="81"/>
            <rFont val="Tahoma"/>
            <family val="2"/>
          </rPr>
          <t>B23</t>
        </r>
        <r>
          <rPr>
            <sz val="10"/>
            <color indexed="81"/>
            <rFont val="Tahoma"/>
            <family val="2"/>
          </rPr>
          <t xml:space="preserve"> presents the result of the default acid-base chemical equilibrium problem: a buffer mixture of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Click </t>
        </r>
        <r>
          <rPr>
            <b/>
            <sz val="10"/>
            <color indexed="81"/>
            <rFont val="Tahoma"/>
            <family val="2"/>
          </rPr>
          <t>Calculate pH</t>
        </r>
        <r>
          <rPr>
            <sz val="10"/>
            <color indexed="81"/>
            <rFont val="Tahoma"/>
            <family val="2"/>
          </rPr>
          <t xml:space="preserve"> (cell </t>
        </r>
        <r>
          <rPr>
            <b/>
            <sz val="10"/>
            <color indexed="81"/>
            <rFont val="Tahoma"/>
            <family val="2"/>
          </rPr>
          <t>B19</t>
        </r>
        <r>
          <rPr>
            <sz val="10"/>
            <color indexed="81"/>
            <rFont val="Tahoma"/>
            <family val="2"/>
          </rPr>
          <t xml:space="preserve">) to see if the macro works. If not, habilitate macros first following instructions at cell </t>
        </r>
        <r>
          <rPr>
            <b/>
            <sz val="10"/>
            <color indexed="81"/>
            <rFont val="Tahoma"/>
            <family val="2"/>
          </rPr>
          <t>A22.</t>
        </r>
        <r>
          <rPr>
            <sz val="10"/>
            <color indexed="81"/>
            <rFont val="Tahoma"/>
            <family val="2"/>
          </rPr>
          <t xml:space="preserve">
- Change the default concentrations in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press </t>
        </r>
        <r>
          <rPr>
            <b/>
            <sz val="10"/>
            <color indexed="81"/>
            <rFont val="Tahoma"/>
            <family val="2"/>
          </rPr>
          <t>Enter</t>
        </r>
        <r>
          <rPr>
            <sz val="10"/>
            <color indexed="81"/>
            <rFont val="Tahoma"/>
            <family val="2"/>
          </rPr>
          <t xml:space="preserve">; click </t>
        </r>
        <r>
          <rPr>
            <b/>
            <sz val="10"/>
            <color indexed="81"/>
            <rFont val="Tahoma"/>
            <family val="2"/>
          </rPr>
          <t>Calculate pH</t>
        </r>
        <r>
          <rPr>
            <sz val="10"/>
            <color indexed="81"/>
            <rFont val="Tahoma"/>
            <family val="2"/>
          </rPr>
          <t>.</t>
        </r>
        <r>
          <rPr>
            <b/>
            <sz val="10"/>
            <color indexed="81"/>
            <rFont val="Tahoma"/>
            <family val="2"/>
          </rPr>
          <t xml:space="preserve">
</t>
        </r>
        <r>
          <rPr>
            <sz val="10"/>
            <color indexed="81"/>
            <rFont val="Tahoma"/>
            <family val="2"/>
          </rPr>
          <t>- Try a mixture of H</t>
        </r>
        <r>
          <rPr>
            <vertAlign val="subscript"/>
            <sz val="11"/>
            <color indexed="81"/>
            <rFont val="Tahoma"/>
            <family val="2"/>
          </rPr>
          <t>3</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B7</t>
        </r>
        <r>
          <rPr>
            <sz val="10"/>
            <color indexed="81"/>
            <rFont val="Tahoma"/>
            <family val="2"/>
          </rPr>
          <t>) and NaH</t>
        </r>
        <r>
          <rPr>
            <vertAlign val="subscript"/>
            <sz val="11"/>
            <color indexed="81"/>
            <rFont val="Tahoma"/>
            <family val="2"/>
          </rPr>
          <t>2</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B6</t>
        </r>
        <r>
          <rPr>
            <sz val="10"/>
            <color indexed="81"/>
            <rFont val="Tahoma"/>
            <family val="2"/>
          </rPr>
          <t xml:space="preserve"> for H</t>
        </r>
        <r>
          <rPr>
            <vertAlign val="subscript"/>
            <sz val="11"/>
            <color indexed="81"/>
            <rFont val="Tahoma"/>
            <family val="2"/>
          </rPr>
          <t>2</t>
        </r>
        <r>
          <rPr>
            <sz val="10"/>
            <color indexed="81"/>
            <rFont val="Tahoma"/>
            <family val="2"/>
          </rPr>
          <t xml:space="preserve">B- and </t>
        </r>
        <r>
          <rPr>
            <b/>
            <sz val="10"/>
            <color indexed="81"/>
            <rFont val="Tahoma"/>
            <family val="2"/>
          </rPr>
          <t>B15</t>
        </r>
        <r>
          <rPr>
            <sz val="10"/>
            <color indexed="81"/>
            <rFont val="Tahoma"/>
            <family val="2"/>
          </rPr>
          <t xml:space="preserve"> for Na+); clear cell </t>
        </r>
        <r>
          <rPr>
            <b/>
            <sz val="10"/>
            <color indexed="81"/>
            <rFont val="Tahoma"/>
            <family val="2"/>
          </rPr>
          <t>B5;</t>
        </r>
        <r>
          <rPr>
            <sz val="10"/>
            <color indexed="81"/>
            <rFont val="Tahoma"/>
            <family val="2"/>
          </rPr>
          <t xml:space="preserve"> Enter; Calculate pH. 
- Change pKa1 (</t>
        </r>
        <r>
          <rPr>
            <b/>
            <sz val="10"/>
            <color indexed="81"/>
            <rFont val="Tahoma"/>
            <family val="2"/>
          </rPr>
          <t>K6</t>
        </r>
        <r>
          <rPr>
            <sz val="10"/>
            <color indexed="81"/>
            <rFont val="Tahoma"/>
            <family val="2"/>
          </rPr>
          <t xml:space="preserve">), e.g. 2.15 to 3.0 or 4.0; </t>
        </r>
        <r>
          <rPr>
            <b/>
            <sz val="10"/>
            <color indexed="81"/>
            <rFont val="Tahoma"/>
            <family val="2"/>
          </rPr>
          <t>Enter</t>
        </r>
        <r>
          <rPr>
            <sz val="10"/>
            <color indexed="81"/>
            <rFont val="Tahoma"/>
            <family val="2"/>
          </rPr>
          <t xml:space="preserve">; </t>
        </r>
        <r>
          <rPr>
            <b/>
            <sz val="10"/>
            <color indexed="81"/>
            <rFont val="Tahoma"/>
            <family val="2"/>
          </rPr>
          <t>Calculate pH</t>
        </r>
        <r>
          <rPr>
            <sz val="10"/>
            <color indexed="81"/>
            <rFont val="Tahoma"/>
            <family val="2"/>
          </rPr>
          <t xml:space="preserve">.
 </t>
        </r>
        <r>
          <rPr>
            <i/>
            <sz val="10"/>
            <color indexed="81"/>
            <rFont val="Tahoma"/>
            <family val="2"/>
          </rPr>
          <t xml:space="preserve"> If you haven't learned what acid-base dissociation constants are, perhaps you should have a look in a textbook or at least read http://en.wikipedia.org/wiki/Acid_dissociation_constant</t>
        </r>
        <r>
          <rPr>
            <sz val="10"/>
            <color indexed="81"/>
            <rFont val="Tahoma"/>
            <family val="2"/>
          </rPr>
          <t xml:space="preserve">
- Compare the values of </t>
        </r>
        <r>
          <rPr>
            <b/>
            <sz val="10"/>
            <color indexed="81"/>
            <rFont val="Tahoma"/>
            <family val="2"/>
          </rPr>
          <t>pH,</t>
        </r>
        <r>
          <rPr>
            <sz val="10"/>
            <color indexed="81"/>
            <rFont val="Tahoma"/>
            <family val="2"/>
          </rPr>
          <t xml:space="preserve">  </t>
        </r>
        <r>
          <rPr>
            <b/>
            <sz val="10"/>
            <color indexed="81"/>
            <rFont val="Tahoma"/>
            <family val="2"/>
          </rPr>
          <t>p[H]</t>
        </r>
        <r>
          <rPr>
            <sz val="10"/>
            <color indexed="81"/>
            <rFont val="Tahoma"/>
            <family val="2"/>
          </rPr>
          <t xml:space="preserve"> and </t>
        </r>
        <r>
          <rPr>
            <b/>
            <sz val="10"/>
            <color indexed="81"/>
            <rFont val="Tahoma"/>
            <family val="2"/>
          </rPr>
          <t>"pH"</t>
        </r>
        <r>
          <rPr>
            <sz val="10"/>
            <color indexed="81"/>
            <rFont val="Tahoma"/>
            <family val="2"/>
          </rPr>
          <t xml:space="preserve"> in </t>
        </r>
        <r>
          <rPr>
            <b/>
            <sz val="10"/>
            <color indexed="81"/>
            <rFont val="Tahoma"/>
            <family val="2"/>
          </rPr>
          <t>A23,</t>
        </r>
        <r>
          <rPr>
            <sz val="10"/>
            <color indexed="81"/>
            <rFont val="Tahoma"/>
            <family val="2"/>
          </rPr>
          <t xml:space="preserve"> </t>
        </r>
        <r>
          <rPr>
            <b/>
            <sz val="10"/>
            <color indexed="81"/>
            <rFont val="Tahoma"/>
            <family val="2"/>
          </rPr>
          <t>A24</t>
        </r>
        <r>
          <rPr>
            <sz val="10"/>
            <color indexed="81"/>
            <rFont val="Tahoma"/>
            <family val="2"/>
          </rPr>
          <t xml:space="preserve"> and </t>
        </r>
        <r>
          <rPr>
            <b/>
            <sz val="10"/>
            <color indexed="81"/>
            <rFont val="Tahoma"/>
            <family val="2"/>
          </rPr>
          <t>A25</t>
        </r>
        <r>
          <rPr>
            <sz val="10"/>
            <color indexed="81"/>
            <rFont val="Tahoma"/>
            <family val="2"/>
          </rPr>
          <t xml:space="preserve"> and read the corresponding comments; have a look at other results in lines 21 to 57 (</t>
        </r>
        <r>
          <rPr>
            <i/>
            <sz val="10"/>
            <color indexed="81"/>
            <rFont val="Tahoma"/>
            <family val="2"/>
          </rPr>
          <t>high school students are not expected to understand many of these figures - some are for advanced users</t>
        </r>
        <r>
          <rPr>
            <sz val="10"/>
            <color indexed="81"/>
            <rFont val="Tahoma"/>
            <family val="2"/>
          </rPr>
          <t xml:space="preserve">).
- Check the pH of pure water at 25ºC: clear </t>
        </r>
        <r>
          <rPr>
            <b/>
            <sz val="10"/>
            <color indexed="81"/>
            <rFont val="Tahoma"/>
            <family val="2"/>
          </rPr>
          <t>B5,</t>
        </r>
        <r>
          <rPr>
            <sz val="10"/>
            <color indexed="81"/>
            <rFont val="Tahoma"/>
            <family val="2"/>
          </rPr>
          <t xml:space="preserve"> </t>
        </r>
        <r>
          <rPr>
            <b/>
            <sz val="10"/>
            <color indexed="81"/>
            <rFont val="Tahoma"/>
            <family val="2"/>
          </rPr>
          <t>B6,</t>
        </r>
        <r>
          <rPr>
            <sz val="10"/>
            <color indexed="81"/>
            <rFont val="Tahoma"/>
            <family val="2"/>
          </rPr>
          <t xml:space="preserve"> </t>
        </r>
        <r>
          <rPr>
            <b/>
            <sz val="10"/>
            <color indexed="81"/>
            <rFont val="Tahoma"/>
            <family val="2"/>
          </rPr>
          <t xml:space="preserve">B15 </t>
        </r>
        <r>
          <rPr>
            <sz val="10"/>
            <color indexed="81"/>
            <rFont val="Tahoma"/>
            <family val="2"/>
          </rPr>
          <t>and any other concentration you may have filled out</t>
        </r>
        <r>
          <rPr>
            <b/>
            <sz val="10"/>
            <color indexed="81"/>
            <rFont val="Tahoma"/>
            <family val="2"/>
          </rPr>
          <t>;</t>
        </r>
        <r>
          <rPr>
            <sz val="10"/>
            <color indexed="81"/>
            <rFont val="Tahoma"/>
            <family val="2"/>
          </rPr>
          <t xml:space="preserve"> </t>
        </r>
        <r>
          <rPr>
            <b/>
            <sz val="10"/>
            <color indexed="81"/>
            <rFont val="Tahoma"/>
            <family val="2"/>
          </rPr>
          <t>Calculate pH</t>
        </r>
        <r>
          <rPr>
            <sz val="10"/>
            <color indexed="81"/>
            <rFont val="Tahoma"/>
            <family val="2"/>
          </rPr>
          <t xml:space="preserve">
- formulate multicomponent mixtures and solve them instantly.
- load other acid/base systems clicking on </t>
        </r>
        <r>
          <rPr>
            <b/>
            <sz val="10"/>
            <color indexed="81"/>
            <rFont val="Tahoma"/>
            <family val="2"/>
          </rPr>
          <t>K2</t>
        </r>
        <r>
          <rPr>
            <sz val="10"/>
            <color indexed="81"/>
            <rFont val="Tahoma"/>
            <family val="2"/>
          </rPr>
          <t xml:space="preserve"> to</t>
        </r>
        <r>
          <rPr>
            <b/>
            <sz val="10"/>
            <color indexed="81"/>
            <rFont val="Tahoma"/>
            <family val="2"/>
          </rPr>
          <t xml:space="preserve"> Q2</t>
        </r>
        <r>
          <rPr>
            <sz val="10"/>
            <color indexed="81"/>
            <rFont val="Tahoma"/>
            <family val="2"/>
          </rPr>
          <t xml:space="preserve">, selecting another acid and clicking on </t>
        </r>
        <r>
          <rPr>
            <b/>
            <sz val="10"/>
            <color indexed="81"/>
            <rFont val="Tahoma"/>
            <family val="2"/>
          </rPr>
          <t>J2</t>
        </r>
        <r>
          <rPr>
            <sz val="10"/>
            <color indexed="81"/>
            <rFont val="Tahoma"/>
            <family val="2"/>
          </rPr>
          <t xml:space="preserve">.
This acid-base </t>
        </r>
        <r>
          <rPr>
            <b/>
            <sz val="10"/>
            <color indexed="81"/>
            <rFont val="Tahoma"/>
            <family val="2"/>
          </rPr>
          <t>pH calculator</t>
        </r>
        <r>
          <rPr>
            <sz val="10"/>
            <color indexed="81"/>
            <rFont val="Tahoma"/>
            <family val="2"/>
          </rPr>
          <t xml:space="preserve"> module first appeared in 2006 in the 3.2 Excel version of CurTiPot, an evolution of the 1.0 Turbo Basic version launched in 1992.
                 Prof. Dr.  Ivano G. R. Gutz
                  www2.iq.usp.br/docente/gutz
</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Z2" authorId="0">
      <text>
        <r>
          <rPr>
            <b/>
            <sz val="8"/>
            <color indexed="81"/>
            <rFont val="Tahoma"/>
            <family val="2"/>
          </rPr>
          <t xml:space="preserve">Gutz: 
</t>
        </r>
        <r>
          <rPr>
            <sz val="10"/>
            <color indexed="81"/>
            <rFont val="Tahoma"/>
            <family val="2"/>
          </rPr>
          <t>The pKas shown here are copied automatically from the Database by changing K2 to Q2. 
See R5 to understand why 
pKa1 = -logKpn</t>
        </r>
      </text>
    </comment>
    <comment ref="A3" authorId="1">
      <text>
        <r>
          <rPr>
            <b/>
            <sz val="8"/>
            <color indexed="81"/>
            <rFont val="Tahoma"/>
            <family val="2"/>
          </rPr>
          <t>Gutz:</t>
        </r>
        <r>
          <rPr>
            <sz val="8"/>
            <color indexed="81"/>
            <rFont val="Tahoma"/>
            <family val="2"/>
          </rPr>
          <t xml:space="preserve">
</t>
        </r>
        <r>
          <rPr>
            <sz val="10"/>
            <color indexed="81"/>
            <rFont val="Tahoma"/>
            <family val="2"/>
          </rPr>
          <t>Name of the acid or base (of the conjugated acid).
To change it, write in cell K3 or load a different system from the Database</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added to the solution,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R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polyprotic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Z5" authorId="0">
      <text>
        <r>
          <rPr>
            <b/>
            <sz val="8"/>
            <color indexed="81"/>
            <rFont val="Tahoma"/>
            <family val="2"/>
          </rPr>
          <t>Gutz:</t>
        </r>
        <r>
          <rPr>
            <sz val="8"/>
            <color indexed="81"/>
            <rFont val="Tahoma"/>
            <family val="2"/>
          </rPr>
          <t xml:space="preserve">
</t>
        </r>
        <r>
          <rPr>
            <sz val="10"/>
            <color indexed="81"/>
            <rFont val="Tahoma"/>
            <family val="2"/>
          </rPr>
          <t>See R5 to understand the conversion of pKa in logKp</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added to the solution,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2"/>
            <color indexed="81"/>
            <rFont val="Tahoma"/>
            <family val="2"/>
          </rPr>
          <t>3</t>
        </r>
        <r>
          <rPr>
            <sz val="10"/>
            <color indexed="81"/>
            <rFont val="Tahoma"/>
            <family val="2"/>
          </rPr>
          <t>B) added to the solution,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(green underlined because it is the neutral form).</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the base B introduced in the solution: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 ...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 xml:space="preserve">Gutz: 
</t>
        </r>
        <r>
          <rPr>
            <sz val="10"/>
            <color indexed="81"/>
            <rFont val="Tahoma"/>
            <family val="2"/>
          </rPr>
          <t xml:space="preserve">Write the name (or formula) of ions of strong electrolytes (not involved in protonation equilibria), like counter-ions of salts of weak acids. 
This is required for ionic strength calculation and activity coefficient estimation.
</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the full deprotonation of all forms of H</t>
        </r>
        <r>
          <rPr>
            <vertAlign val="subscript"/>
            <sz val="10"/>
            <color indexed="81"/>
            <rFont val="Tahoma"/>
            <family val="2"/>
          </rPr>
          <t>i</t>
        </r>
        <r>
          <rPr>
            <sz val="10"/>
            <color indexed="81"/>
            <rFont val="Tahoma"/>
            <family val="2"/>
          </rPr>
          <t>B used in the formulation of the solution: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 + ...</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J12" authorId="0">
      <text>
        <r>
          <rPr>
            <b/>
            <sz val="8"/>
            <color indexed="81"/>
            <rFont val="Tahoma"/>
            <family val="2"/>
          </rPr>
          <t>Gutz:</t>
        </r>
        <r>
          <rPr>
            <sz val="8"/>
            <color indexed="81"/>
            <rFont val="Tahoma"/>
            <family val="2"/>
          </rPr>
          <t xml:space="preserve">
</t>
        </r>
        <r>
          <rPr>
            <sz val="10"/>
            <color indexed="81"/>
            <rFont val="Tahoma"/>
            <family val="2"/>
          </rPr>
          <t>Fill out with the charge of the 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3"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acidic and basic ingredients; if not zero, it should be neutralized by counterions in the electrolyte.</t>
        </r>
      </text>
    </comment>
    <comment ref="J13"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The program corrects for I variation using the Davies eq. and displays the resulting value in K31.
Values of pKw at various temperatures: http://www.chemguide.co.uk/physical/acidbaseeqia/kw.html#top</t>
        </r>
      </text>
    </comment>
    <comment ref="A14" authorId="0">
      <text>
        <r>
          <rPr>
            <b/>
            <sz val="8"/>
            <color indexed="81"/>
            <rFont val="Tahoma"/>
            <family val="2"/>
          </rPr>
          <t>Gutz:</t>
        </r>
        <r>
          <rPr>
            <sz val="8"/>
            <color indexed="81"/>
            <rFont val="Tahoma"/>
            <family val="2"/>
          </rPr>
          <t xml:space="preserve">
</t>
        </r>
        <r>
          <rPr>
            <sz val="10"/>
            <color indexed="81"/>
            <rFont val="Tahoma"/>
            <family val="2"/>
          </rPr>
          <t xml:space="preserve">Fill out with the concentration of counter-ions of the salts of acids and bases, as well as other electrolytes added to the solution (e.g., to adjust ionic strength). 
This data is not essential but it will reduce the uncertainty of the estimation of activity coefficients and pH.
Note: </t>
        </r>
        <r>
          <rPr>
            <sz val="8"/>
            <color indexed="81"/>
            <rFont val="Tahoma"/>
            <family val="2"/>
          </rPr>
          <t>sulfate, a common divalent anion, is only fully dissociated a pH&gt;4 because of its first protonation constant of 100 (= pKa</t>
        </r>
        <r>
          <rPr>
            <vertAlign val="subscript"/>
            <sz val="8"/>
            <color indexed="81"/>
            <rFont val="Tahoma"/>
            <family val="2"/>
          </rPr>
          <t xml:space="preserve">2 </t>
        </r>
        <r>
          <rPr>
            <sz val="8"/>
            <color indexed="81"/>
            <rFont val="Tahoma"/>
            <family val="2"/>
          </rPr>
          <t xml:space="preserve">2 of sulfuric acid). To deal more accurately with this acid/base system, load sulfuric acid from the Database (instead of defining it as electrolyte). </t>
        </r>
      </text>
    </comment>
    <comment ref="B14" authorId="0">
      <text>
        <r>
          <rPr>
            <b/>
            <sz val="8"/>
            <color indexed="81"/>
            <rFont val="Tahoma"/>
            <family val="2"/>
          </rPr>
          <t>Gutz:</t>
        </r>
        <r>
          <rPr>
            <sz val="8"/>
            <color indexed="81"/>
            <rFont val="Tahoma"/>
            <family val="2"/>
          </rPr>
          <t xml:space="preserve">
</t>
        </r>
        <r>
          <rPr>
            <sz val="10"/>
            <color indexed="81"/>
            <rFont val="Tahoma"/>
            <family val="2"/>
          </rPr>
          <t>Name of the ion (strong electrolyte). To change it, write in cell K11.</t>
        </r>
      </text>
    </comment>
    <comment ref="A15" authorId="0">
      <text>
        <r>
          <rPr>
            <b/>
            <sz val="8"/>
            <color indexed="81"/>
            <rFont val="Tahoma"/>
            <family val="2"/>
          </rPr>
          <t>Gutz:</t>
        </r>
        <r>
          <rPr>
            <sz val="8"/>
            <color indexed="81"/>
            <rFont val="Tahoma"/>
            <family val="2"/>
          </rPr>
          <t xml:space="preserve">
</t>
        </r>
        <r>
          <rPr>
            <sz val="10"/>
            <color indexed="81"/>
            <rFont val="Tahoma"/>
            <family val="2"/>
          </rPr>
          <t>To add, e.g., 0.1 mol/L NH</t>
        </r>
        <r>
          <rPr>
            <vertAlign val="subscript"/>
            <sz val="12"/>
            <color indexed="81"/>
            <rFont val="Tahoma"/>
            <family val="2"/>
          </rPr>
          <t>4</t>
        </r>
        <r>
          <rPr>
            <sz val="10"/>
            <color indexed="81"/>
            <rFont val="Tahoma"/>
            <family val="2"/>
          </rPr>
          <t>Cl  to the solution, write 0.1 in the Cl</t>
        </r>
        <r>
          <rPr>
            <vertAlign val="superscript"/>
            <sz val="10"/>
            <color indexed="81"/>
            <rFont val="Tahoma"/>
            <family val="2"/>
          </rPr>
          <t xml:space="preserve">- </t>
        </r>
        <r>
          <rPr>
            <sz val="10"/>
            <color indexed="81"/>
            <rFont val="Tahoma"/>
            <family val="2"/>
          </rPr>
          <t>column of this line and 0.1 in line 5 of the column loaded with ammonia.
For 0.1 mol/L CaCl</t>
        </r>
        <r>
          <rPr>
            <vertAlign val="subscript"/>
            <sz val="12"/>
            <color indexed="81"/>
            <rFont val="Tahoma"/>
            <family val="2"/>
          </rPr>
          <t>2</t>
        </r>
        <r>
          <rPr>
            <sz val="10"/>
            <color indexed="81"/>
            <rFont val="Tahoma"/>
            <family val="2"/>
          </rPr>
          <t xml:space="preserve"> , write 0.1 under Ca</t>
        </r>
        <r>
          <rPr>
            <vertAlign val="superscript"/>
            <sz val="10"/>
            <color indexed="81"/>
            <rFont val="Tahoma"/>
            <family val="2"/>
          </rPr>
          <t>++</t>
        </r>
        <r>
          <rPr>
            <sz val="10"/>
            <color indexed="81"/>
            <rFont val="Tahoma"/>
            <family val="2"/>
          </rPr>
          <t xml:space="preserve"> and 0.2 under Cl</t>
        </r>
        <r>
          <rPr>
            <vertAlign val="superscript"/>
            <sz val="10"/>
            <color indexed="81"/>
            <rFont val="Tahoma"/>
            <family val="2"/>
          </rPr>
          <t>-</t>
        </r>
        <r>
          <rPr>
            <sz val="10"/>
            <color indexed="81"/>
            <rFont val="Tahoma"/>
            <family val="2"/>
          </rPr>
          <t>.</t>
        </r>
      </text>
    </comment>
    <comment ref="K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A16"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6"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electrolytes</t>
        </r>
      </text>
    </comment>
    <comment ref="J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A17" authorId="0">
      <text>
        <r>
          <rPr>
            <b/>
            <sz val="8"/>
            <color indexed="81"/>
            <rFont val="Tahoma"/>
            <family val="2"/>
          </rPr>
          <t>Gutz:</t>
        </r>
        <r>
          <rPr>
            <sz val="8"/>
            <color indexed="81"/>
            <rFont val="Tahoma"/>
            <family val="2"/>
          </rPr>
          <t xml:space="preserve">
</t>
        </r>
        <r>
          <rPr>
            <sz val="10"/>
            <color indexed="81"/>
            <rFont val="Tahoma"/>
            <family val="2"/>
          </rPr>
          <t>Electroneutrality is not a must to calculate the pH (by clicking B18). However, there will be some extra uncertainty in the results due to incorrect ionic strength calculation.</t>
        </r>
      </text>
    </comment>
    <comment ref="I17" authorId="0">
      <text>
        <r>
          <rPr>
            <b/>
            <sz val="8"/>
            <color indexed="81"/>
            <rFont val="Tahoma"/>
            <family val="2"/>
          </rPr>
          <t>Gutz:</t>
        </r>
        <r>
          <rPr>
            <sz val="8"/>
            <color indexed="81"/>
            <rFont val="Tahoma"/>
            <family val="2"/>
          </rPr>
          <t xml:space="preserve">
</t>
        </r>
        <r>
          <rPr>
            <sz val="10"/>
            <color indexed="81"/>
            <rFont val="Tahoma"/>
            <family val="2"/>
          </rPr>
          <t>Charge Balance of all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ingredients added (before equilibrium); if not zero, it should be neutralized by adding counterions.</t>
        </r>
      </text>
    </comment>
    <comment ref="J17" authorId="0">
      <text>
        <r>
          <rPr>
            <b/>
            <sz val="8"/>
            <color indexed="81"/>
            <rFont val="Tahoma"/>
            <family val="2"/>
          </rPr>
          <t>Gutz:</t>
        </r>
        <r>
          <rPr>
            <sz val="8"/>
            <color indexed="81"/>
            <rFont val="Tahoma"/>
            <family val="2"/>
          </rPr>
          <t xml:space="preserve">
</t>
        </r>
        <r>
          <rPr>
            <sz val="10"/>
            <color indexed="81"/>
            <rFont val="Tahoma"/>
            <family val="2"/>
          </rPr>
          <t>Read comment  in cell J6 (above) and K15.</t>
        </r>
      </text>
    </comment>
    <comment ref="A23" authorId="0">
      <text>
        <r>
          <rPr>
            <b/>
            <sz val="8"/>
            <color indexed="81"/>
            <rFont val="Tahoma"/>
            <family val="2"/>
          </rPr>
          <t>Gutz:</t>
        </r>
        <r>
          <rPr>
            <sz val="8"/>
            <color indexed="81"/>
            <rFont val="Tahoma"/>
            <family val="2"/>
          </rPr>
          <t xml:space="preserve">
</t>
        </r>
        <r>
          <rPr>
            <sz val="10"/>
            <color indexed="81"/>
            <rFont val="Tahoma"/>
            <family val="2"/>
          </rPr>
          <t>This is an estimate of the pH = -logarithm of activity of  H</t>
        </r>
        <r>
          <rPr>
            <vertAlign val="superscript"/>
            <sz val="12"/>
            <color indexed="81"/>
            <rFont val="Tahoma"/>
            <family val="2"/>
          </rPr>
          <t>+</t>
        </r>
        <r>
          <rPr>
            <sz val="10"/>
            <color indexed="81"/>
            <rFont val="Tahoma"/>
            <family val="2"/>
          </rPr>
          <t xml:space="preserve"> ions or hydronium (see definition in http://www.iupac.org/goldbook/P04524.pdf ) that would be measured by a pH meter for a solution with the given composition, at 25ºC (or another temperature specified for the pKw and pKa values). The potential of potentiometric sensors (like the glass electrode or the H</t>
        </r>
        <r>
          <rPr>
            <vertAlign val="superscript"/>
            <sz val="12"/>
            <color indexed="81"/>
            <rFont val="Tahoma"/>
            <family val="2"/>
          </rPr>
          <t>+</t>
        </r>
        <r>
          <rPr>
            <sz val="10"/>
            <color indexed="81"/>
            <rFont val="Tahoma"/>
            <family val="2"/>
          </rPr>
          <t>/H</t>
        </r>
        <r>
          <rPr>
            <vertAlign val="subscript"/>
            <sz val="12"/>
            <color indexed="81"/>
            <rFont val="Tahoma"/>
            <family val="2"/>
          </rPr>
          <t xml:space="preserve">2 </t>
        </r>
        <r>
          <rPr>
            <sz val="10"/>
            <color indexed="81"/>
            <rFont val="Tahoma"/>
            <family val="2"/>
          </rPr>
          <t xml:space="preserve">electrode) changes linearly with the inverse of the logarithm of the </t>
        </r>
        <r>
          <rPr>
            <b/>
            <sz val="10"/>
            <color indexed="81"/>
            <rFont val="Tahoma"/>
            <family val="2"/>
          </rPr>
          <t>activity</t>
        </r>
        <r>
          <rPr>
            <sz val="10"/>
            <color indexed="81"/>
            <rFont val="Tahoma"/>
            <family val="2"/>
          </rPr>
          <t xml:space="preserve"> of hydrated H</t>
        </r>
        <r>
          <rPr>
            <vertAlign val="superscript"/>
            <sz val="10"/>
            <color indexed="81"/>
            <rFont val="Tahoma"/>
            <family val="2"/>
          </rPr>
          <t>+</t>
        </r>
        <r>
          <rPr>
            <sz val="10"/>
            <color indexed="81"/>
            <rFont val="Tahoma"/>
            <family val="2"/>
          </rPr>
          <t xml:space="preserve"> ions, </t>
        </r>
        <r>
          <rPr>
            <b/>
            <sz val="10"/>
            <color indexed="81"/>
            <rFont val="Tahoma"/>
            <family val="2"/>
          </rPr>
          <t>not</t>
        </r>
        <r>
          <rPr>
            <sz val="10"/>
            <color indexed="81"/>
            <rFont val="Tahoma"/>
            <family val="2"/>
          </rPr>
          <t xml:space="preserve"> the </t>
        </r>
        <r>
          <rPr>
            <b/>
            <sz val="10"/>
            <color indexed="81"/>
            <rFont val="Tahoma"/>
            <family val="2"/>
          </rPr>
          <t>concentration</t>
        </r>
        <r>
          <rPr>
            <sz val="10"/>
            <color indexed="81"/>
            <rFont val="Tahoma"/>
            <family val="2"/>
          </rPr>
          <t xml:space="preserve"> (expressed as p[H] in cell B24).  
pH = -log aH+ = -log([H</t>
        </r>
        <r>
          <rPr>
            <vertAlign val="superscript"/>
            <sz val="12"/>
            <color indexed="81"/>
            <rFont val="Tahoma"/>
            <family val="2"/>
          </rPr>
          <t>+</t>
        </r>
        <r>
          <rPr>
            <sz val="10"/>
            <color indexed="81"/>
            <rFont val="Tahoma"/>
            <family val="2"/>
          </rPr>
          <t>] x</t>
        </r>
        <r>
          <rPr>
            <sz val="10"/>
            <color indexed="81"/>
            <rFont val="Symbol"/>
            <family val="1"/>
            <charset val="2"/>
          </rPr>
          <t xml:space="preserve"> </t>
        </r>
        <r>
          <rPr>
            <sz val="12"/>
            <color indexed="81"/>
            <rFont val="Symbol"/>
            <family val="1"/>
            <charset val="2"/>
          </rPr>
          <t>g</t>
        </r>
        <r>
          <rPr>
            <vertAlign val="subscript"/>
            <sz val="12"/>
            <color indexed="81"/>
            <rFont val="Tahoma"/>
            <family val="2"/>
          </rPr>
          <t>H+</t>
        </r>
        <r>
          <rPr>
            <sz val="10"/>
            <color indexed="81"/>
            <rFont val="Tahoma"/>
            <family val="2"/>
          </rPr>
          <t xml:space="preserve">) , </t>
        </r>
        <r>
          <rPr>
            <sz val="12"/>
            <color indexed="81"/>
            <rFont val="Symbol"/>
            <family val="1"/>
            <charset val="2"/>
          </rPr>
          <t>g</t>
        </r>
        <r>
          <rPr>
            <vertAlign val="subscript"/>
            <sz val="12"/>
            <color indexed="81"/>
            <rFont val="Tahoma"/>
            <family val="2"/>
          </rPr>
          <t xml:space="preserve">H+ </t>
        </r>
        <r>
          <rPr>
            <sz val="10"/>
            <color indexed="81"/>
            <rFont val="Tahoma"/>
            <family val="2"/>
          </rPr>
          <t>is shown in the B26
The uncertainty of estimated pH values is never lower than the uncertainty of the pKa values in use, and it grows with the ionic strength, I, due to deficiencies of the Davies equation (more about in cells D26 and  K15). It can exceed 0.1 pH unit for I&gt;0.05, specially in solutions with highly charged ions (like PO</t>
        </r>
        <r>
          <rPr>
            <vertAlign val="subscript"/>
            <sz val="12"/>
            <color indexed="81"/>
            <rFont val="Tahoma"/>
            <family val="2"/>
          </rPr>
          <t>4</t>
        </r>
        <r>
          <rPr>
            <vertAlign val="superscript"/>
            <sz val="12"/>
            <color indexed="81"/>
            <rFont val="Tahoma"/>
            <family val="2"/>
          </rPr>
          <t>3--</t>
        </r>
        <r>
          <rPr>
            <sz val="10"/>
            <color indexed="81"/>
            <rFont val="Tahoma"/>
            <family val="2"/>
          </rPr>
          <t>).</t>
        </r>
      </text>
    </comment>
    <comment ref="C23" authorId="0">
      <text>
        <r>
          <rPr>
            <b/>
            <sz val="8"/>
            <color indexed="81"/>
            <rFont val="Tahoma"/>
            <family val="2"/>
          </rPr>
          <t>Gutz:</t>
        </r>
        <r>
          <rPr>
            <sz val="8"/>
            <color indexed="81"/>
            <rFont val="Tahoma"/>
            <family val="2"/>
          </rPr>
          <t xml:space="preserve">
</t>
        </r>
        <r>
          <rPr>
            <sz val="10"/>
            <color indexed="81"/>
            <rFont val="Tahoma"/>
            <family val="2"/>
          </rPr>
          <t>This and other activity results are based on (uncertain) estimates of activity coefficient made with the Davies equation. Read more in cells A23, D26 and  K15.</t>
        </r>
      </text>
    </comment>
    <comment ref="A24" authorId="0">
      <text>
        <r>
          <rPr>
            <b/>
            <sz val="8"/>
            <color indexed="81"/>
            <rFont val="Tahoma"/>
            <family val="2"/>
          </rPr>
          <t>Gutz:</t>
        </r>
        <r>
          <rPr>
            <sz val="8"/>
            <color indexed="81"/>
            <rFont val="Tahoma"/>
            <family val="2"/>
          </rPr>
          <t xml:space="preserve">
</t>
        </r>
        <r>
          <rPr>
            <sz val="10"/>
            <color indexed="81"/>
            <rFont val="Tahoma"/>
            <family val="2"/>
          </rPr>
          <t>p[H] = -log[H</t>
        </r>
        <r>
          <rPr>
            <vertAlign val="superscript"/>
            <sz val="10"/>
            <color indexed="81"/>
            <rFont val="Tahoma"/>
            <family val="2"/>
          </rPr>
          <t>+</t>
        </r>
        <r>
          <rPr>
            <sz val="10"/>
            <color indexed="81"/>
            <rFont val="Tahoma"/>
            <family val="2"/>
          </rPr>
          <t>], calculated with the apparent pKas (cells K25 to Q30), while "pH" (cell B25) is obtained with the thermodynamic pKas, valid only for I=0 (see comment in cell K15), and pH (cell B23) uses estimated activities to come closer to the measurable pH.  
Although potentiometric sensors respond to activity of species (see comment in B23), it is possible – but not usual – to calibrate a pH meter (a high impedance voltmeter) with H</t>
        </r>
        <r>
          <rPr>
            <vertAlign val="superscript"/>
            <sz val="10"/>
            <color indexed="81"/>
            <rFont val="Tahoma"/>
            <family val="2"/>
          </rPr>
          <t>+</t>
        </r>
        <r>
          <rPr>
            <sz val="10"/>
            <color indexed="81"/>
            <rFont val="Tahoma"/>
            <family val="2"/>
          </rPr>
          <t xml:space="preserve"> concentration standards at a given value of  I (to keep the activity coefficients constant) and measure free hydrated proton concentrations directly at this I. 
Some other techniques like spectrophotometry present a concentration response and may be used to indirectly measure p[H] (e.g., optodes).</t>
        </r>
      </text>
    </comment>
    <comment ref="A25" authorId="0">
      <text>
        <r>
          <rPr>
            <b/>
            <sz val="8"/>
            <color indexed="81"/>
            <rFont val="Tahoma"/>
            <family val="2"/>
          </rPr>
          <t>Gutz:</t>
        </r>
        <r>
          <rPr>
            <sz val="8"/>
            <color indexed="81"/>
            <rFont val="Tahoma"/>
            <family val="2"/>
          </rPr>
          <t xml:space="preserve">
</t>
        </r>
        <r>
          <rPr>
            <sz val="10"/>
            <color indexed="81"/>
            <rFont val="Tahoma"/>
            <family val="2"/>
          </rPr>
          <t>"pH" is the value found in calculations where concentrations are used in the law of mass action expressions supplied with thermodynamic equilibrium constants – as usual in high school or introductory general chemistry classes and textbooks. 
Comparison with pH (cell B23) and p[H] (cell B24) reveals that errors are small only for diluted solutions, where ion-ion interactions are less significant and activities depart less from concentrations (see comments in cells A23, D26 and  K15).</t>
        </r>
      </text>
    </comment>
    <comment ref="A26" authorId="0">
      <text>
        <r>
          <rPr>
            <b/>
            <sz val="8"/>
            <color indexed="81"/>
            <rFont val="Tahoma"/>
            <family val="2"/>
          </rPr>
          <t>Gutz:</t>
        </r>
        <r>
          <rPr>
            <sz val="8"/>
            <color indexed="81"/>
            <rFont val="Tahoma"/>
            <family val="2"/>
          </rPr>
          <t xml:space="preserve">
</t>
        </r>
        <r>
          <rPr>
            <sz val="10"/>
            <color indexed="81"/>
            <rFont val="Tahoma"/>
            <family val="2"/>
          </rPr>
          <t>This and other activity coefficients are (uncertain) estimates made with the Davies equation. Read more in cells A23, D26 and  K15.</t>
        </r>
      </text>
    </comment>
    <comment ref="D26" authorId="0">
      <text>
        <r>
          <rPr>
            <b/>
            <sz val="8"/>
            <color indexed="81"/>
            <rFont val="Tahoma"/>
            <family val="2"/>
          </rPr>
          <t>Gutz:</t>
        </r>
        <r>
          <rPr>
            <sz val="8"/>
            <color indexed="81"/>
            <rFont val="Tahoma"/>
            <family val="2"/>
          </rPr>
          <t xml:space="preserve">
</t>
        </r>
        <r>
          <rPr>
            <sz val="10"/>
            <color indexed="81"/>
            <rFont val="Tahoma"/>
            <family val="2"/>
          </rPr>
          <t>The amount of electrostatic interaction between ions in solution is related to the ionic strength, I, a parameter used in the Debye Hückel equation for estimation of activity coefficients and extended versions of this equation, suitable for work at I&gt;0.01 mol/L, where the effective hydrated ion size of the species also becomes relevant. 
As a general trend, the activity coefficient decreases with the increase of I (due to ion-ion interactions like the formation of ion pairs) down to a minimum in the region of I = 0.3 to 0.7 mol/L. At such high values of I, the association constants of each with all other major ions need to be feed to the equations or empirically fitted, to reduce uncertainty in estimates. The Davies equation, based on the average behavior of the ions and used here to deal with in complex mixtures for witch such constants are not readily available, renders estimates with greater uncertainty. Read also A23 and  K15.</t>
        </r>
        <r>
          <rPr>
            <sz val="8"/>
            <color indexed="81"/>
            <rFont val="Tahoma"/>
            <family val="2"/>
          </rPr>
          <t xml:space="preserve">
</t>
        </r>
      </text>
    </comment>
    <comment ref="C27" authorId="2">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G27" authorId="2">
      <text>
        <r>
          <rPr>
            <b/>
            <sz val="8"/>
            <color indexed="81"/>
            <rFont val="Tahoma"/>
            <family val="2"/>
          </rPr>
          <t>Gutz:</t>
        </r>
        <r>
          <rPr>
            <sz val="10"/>
            <color indexed="81"/>
            <rFont val="Tahoma"/>
            <family val="2"/>
          </rPr>
          <t xml:space="preserve">
Buffer Capacity=Buffer Strength x ln(10),  where ln(10) ~ 2.303
For a monoprotic acid, e.g., Acetic Acid written in column C, the Buffer Strength is evaluated by the expression: C11 x (C44/100) x (C45/100) + D24+F24
</t>
        </r>
      </text>
    </comment>
    <comment ref="A30" authorId="1">
      <text>
        <r>
          <rPr>
            <b/>
            <sz val="8"/>
            <color indexed="81"/>
            <rFont val="Tahoma"/>
            <family val="2"/>
          </rPr>
          <t>Gutz:</t>
        </r>
        <r>
          <rPr>
            <sz val="8"/>
            <color indexed="81"/>
            <rFont val="Tahoma"/>
            <family val="2"/>
          </rPr>
          <t xml:space="preserve">
</t>
        </r>
        <r>
          <rPr>
            <sz val="10"/>
            <color indexed="81"/>
            <rFont val="Tahoma"/>
            <family val="2"/>
          </rPr>
          <t xml:space="preserve">The mean or average charge of a conjugate acid/base system </t>
        </r>
        <r>
          <rPr>
            <b/>
            <sz val="10"/>
            <color indexed="81"/>
            <rFont val="Tahoma"/>
            <family val="2"/>
          </rPr>
          <t>H</t>
        </r>
        <r>
          <rPr>
            <b/>
            <vertAlign val="subscript"/>
            <sz val="12"/>
            <color indexed="81"/>
            <rFont val="Tahoma"/>
            <family val="2"/>
          </rPr>
          <t>i</t>
        </r>
        <r>
          <rPr>
            <b/>
            <sz val="10"/>
            <color indexed="81"/>
            <rFont val="Tahoma"/>
            <family val="2"/>
          </rPr>
          <t>B</t>
        </r>
        <r>
          <rPr>
            <sz val="10"/>
            <color indexed="81"/>
            <rFont val="Tahoma"/>
            <family val="2"/>
          </rPr>
          <t xml:space="preserve"> at a given pH is calculated by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(cells K4 to Q4) and h</t>
        </r>
        <r>
          <rPr>
            <vertAlign val="subscript"/>
            <sz val="12"/>
            <color indexed="81"/>
            <rFont val="Tahoma"/>
            <family val="2"/>
          </rPr>
          <t>m</t>
        </r>
        <r>
          <rPr>
            <sz val="10"/>
            <color indexed="81"/>
            <rFont val="Tahoma"/>
            <family val="2"/>
          </rPr>
          <t xml:space="preserve"> is the mean number of protons bound to the base, taking in account the fractional contribution of all species in equilibrium. 
Refer to the </t>
        </r>
        <r>
          <rPr>
            <b/>
            <sz val="10"/>
            <color indexed="81"/>
            <rFont val="Tahoma"/>
            <family val="2"/>
          </rPr>
          <t>Distribution</t>
        </r>
        <r>
          <rPr>
            <sz val="10"/>
            <color indexed="81"/>
            <rFont val="Tahoma"/>
            <family val="2"/>
          </rPr>
          <t xml:space="preserve"> module to generate complete curves of mean charge versus pH or titrant volume.
The </t>
        </r>
        <r>
          <rPr>
            <b/>
            <sz val="10"/>
            <color indexed="81"/>
            <rFont val="Tahoma"/>
            <family val="2"/>
          </rPr>
          <t>isoelectric point</t>
        </r>
        <r>
          <rPr>
            <sz val="10"/>
            <color indexed="81"/>
            <rFont val="Tahoma"/>
            <family val="2"/>
          </rPr>
          <t xml:space="preserve"> (pI or PIE)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t>
        </r>
      </text>
    </comment>
    <comment ref="A31"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H</t>
        </r>
        <r>
          <rPr>
            <vertAlign val="subscript"/>
            <sz val="14"/>
            <color indexed="81"/>
            <rFont val="Tahoma"/>
            <family val="2"/>
          </rPr>
          <t>i</t>
        </r>
        <r>
          <rPr>
            <sz val="10"/>
            <color indexed="81"/>
            <rFont val="Tahoma"/>
            <family val="2"/>
          </rPr>
          <t xml:space="preserve">B species with stepwise number of protons </t>
        </r>
        <r>
          <rPr>
            <b/>
            <sz val="10"/>
            <color indexed="81"/>
            <rFont val="Tahoma"/>
            <family val="2"/>
          </rPr>
          <t>i</t>
        </r>
        <r>
          <rPr>
            <sz val="10"/>
            <color indexed="81"/>
            <rFont val="Tahoma"/>
            <family val="2"/>
          </rPr>
          <t xml:space="preserve">  coexisting at a given pH, </t>
        </r>
        <r>
          <rPr>
            <strike/>
            <sz val="10"/>
            <color indexed="81"/>
            <rFont val="Tahoma"/>
            <family val="2"/>
          </rPr>
          <t>h</t>
        </r>
        <r>
          <rPr>
            <sz val="10"/>
            <color indexed="81"/>
            <rFont val="Tahoma"/>
            <family val="2"/>
          </rPr>
          <t xml:space="preserve"> is the sum of their molar fractions (cells in lines 44 to 50) times the</t>
        </r>
        <r>
          <rPr>
            <b/>
            <sz val="10"/>
            <color indexed="81"/>
            <rFont val="Tahoma"/>
            <family val="2"/>
          </rPr>
          <t xml:space="preserve"> i</t>
        </r>
        <r>
          <rPr>
            <sz val="10"/>
            <color indexed="81"/>
            <rFont val="Tahoma"/>
            <family val="2"/>
          </rPr>
          <t xml:space="preserve"> of each species.</t>
        </r>
      </text>
    </comment>
    <comment ref="L32" authorId="0">
      <text>
        <r>
          <rPr>
            <b/>
            <sz val="8"/>
            <color indexed="81"/>
            <rFont val="Tahoma"/>
            <family val="2"/>
          </rPr>
          <t>Gutz:</t>
        </r>
        <r>
          <rPr>
            <sz val="8"/>
            <color indexed="81"/>
            <rFont val="Tahoma"/>
            <family val="2"/>
          </rPr>
          <t xml:space="preserve">
</t>
        </r>
        <r>
          <rPr>
            <sz val="10"/>
            <color indexed="81"/>
            <rFont val="Tahoma"/>
            <family val="2"/>
          </rPr>
          <t>These activity coefficients were estimated with the Davies equation and their uncertainty increases with the ionic strength. More information in cells A23, D26 and K15.</t>
        </r>
      </text>
    </comment>
    <comment ref="I41" authorId="0">
      <text>
        <r>
          <rPr>
            <b/>
            <sz val="8"/>
            <color indexed="81"/>
            <rFont val="Tahoma"/>
            <family val="2"/>
          </rPr>
          <t>Gutz:</t>
        </r>
        <r>
          <rPr>
            <sz val="8"/>
            <color indexed="81"/>
            <rFont val="Tahoma"/>
            <family val="2"/>
          </rPr>
          <t xml:space="preserve">
</t>
        </r>
        <r>
          <rPr>
            <sz val="10"/>
            <color indexed="81"/>
            <rFont val="Tahoma"/>
            <family val="2"/>
          </rPr>
          <t>Summation of the concentrations of all H</t>
        </r>
        <r>
          <rPr>
            <vertAlign val="superscript"/>
            <sz val="12"/>
            <color indexed="81"/>
            <rFont val="Tahoma"/>
            <family val="2"/>
          </rPr>
          <t>+</t>
        </r>
        <r>
          <rPr>
            <vertAlign val="superscript"/>
            <sz val="10"/>
            <color indexed="81"/>
            <rFont val="Tahoma"/>
            <family val="2"/>
          </rPr>
          <t xml:space="preserve"> </t>
        </r>
        <r>
          <rPr>
            <sz val="10"/>
            <color indexed="81"/>
            <rFont val="Tahoma"/>
            <family val="2"/>
          </rPr>
          <t>potentially dissociable from reagents available in the solution, coined C</t>
        </r>
        <r>
          <rPr>
            <vertAlign val="subscript"/>
            <sz val="12"/>
            <color indexed="81"/>
            <rFont val="Tahoma"/>
            <family val="2"/>
          </rPr>
          <t>Htotal</t>
        </r>
        <r>
          <rPr>
            <sz val="10"/>
            <color indexed="81"/>
            <rFont val="Tahoma"/>
            <family val="2"/>
          </rPr>
          <t>. to be equaled with  C</t>
        </r>
        <r>
          <rPr>
            <vertAlign val="subscript"/>
            <sz val="12"/>
            <color indexed="81"/>
            <rFont val="Tahoma"/>
            <family val="2"/>
          </rPr>
          <t>Hcalc</t>
        </r>
        <r>
          <rPr>
            <sz val="10"/>
            <color indexed="81"/>
            <rFont val="Tahoma"/>
            <family val="2"/>
          </rPr>
          <t xml:space="preserve"> obtained by iteratively changing fitting the pH value.</t>
        </r>
      </text>
    </comment>
  </commentList>
</comments>
</file>

<file path=xl/comments3.xml><?xml version="1.0" encoding="utf-8"?>
<comments xmlns="http://schemas.openxmlformats.org/spreadsheetml/2006/main">
  <authors>
    <author>Gutz</author>
    <author>Ivano Gebhardt Rolf Gutz</author>
    <author>gtz</author>
    <author>GPQAI-51</author>
  </authors>
  <commentList>
    <comment ref="G1" authorId="0">
      <text>
        <r>
          <rPr>
            <b/>
            <sz val="10"/>
            <color indexed="81"/>
            <rFont val="Tahoma"/>
            <family val="2"/>
          </rPr>
          <t xml:space="preserve"> "Hands on" the "Manual Virtual Titrator with visual indicator":</t>
        </r>
        <r>
          <rPr>
            <sz val="10"/>
            <color indexed="81"/>
            <rFont val="Tahoma"/>
            <family val="2"/>
          </rPr>
          <t xml:space="preserve">
If you are familiar with acid-base titrations and have already practiced with a buret, you may skip this module designed to let first-time students practice with titration end point detection with visual acid/base indicators, as well as by pH measurements.
If however you have no idea why acids are titrated, what indicators and acid-base dissociation constants are, perhaps you should first go through a textbook, a tutorial or at least the Wikipedia, unless you intend to play with the titrator as a game (and maybe learn something by reading the comments added to cells with a red dot). Examples of tutorials: 
acid/base titrations, http://www.chemguide.co.uk/physical/acidbaseeqia/phcurves.html#top ; 
acid-base indicators, http://www.chemguide.co.uk/physical/acidbaseeqia/indicators.html ;
titration animation, http://amrita.vlab.co.in/?sub=3&amp;brch=63&amp;sim=1336&amp;cnt=2841 .
Always use the most recent version available at the author’s site http://www.iq.usp.br/gutz/Curtipot_.html, choosing between CurTiPot and CurTiPot option i – the same full program plus balloons with first steps for beginners.
The sample (unknown) can be freely defined in cells B3 to H10 (read comment of cell A3), from a single component to complex mixtures, probably unapproachable by visual endpoint indication (but eventually solvable in the Evaluation or Regression modules). 
Like in the laboratory, you may decide about the titrant to be used and its concentration (cells B14 and D16), the volume of sample (cell F16), dilution water (G16), the capacity (maximum volume) of the buret (cell F18), as well as the volumes to be dispensed during the titration, in steps ranging from 5 mL (some 100 drops) down to 0.01 mL (1/5 of a drop).
By varying the pKa of the visual indicator in the cell B29 you will find out how to accurately match the color change observed in the beaker (end point) with the correct stoichiometric point of the titration (or each of them, if there are various).
Note that indicators are acids or bases to be titrated, causing a significant error in the titration if used at a concentration higher than 0.1% of the analyte(s) to be determined. Sometimes a blank titration of the indicator or of a standard + indicator is used to define a correction to be applied.
</t>
        </r>
        <r>
          <rPr>
            <b/>
            <sz val="10"/>
            <color indexed="81"/>
            <rFont val="Tahoma"/>
            <family val="2"/>
          </rPr>
          <t xml:space="preserve">
Nice features</t>
        </r>
        <r>
          <rPr>
            <sz val="10"/>
            <color indexed="81"/>
            <rFont val="Tahoma"/>
            <family val="2"/>
          </rPr>
          <t xml:space="preserve"> of this virtual titrator:
- The buret is a digital one with a motorized syringe, like those used in modern labs or commercial titrators, instead of the old fashioned graduated glass tube with a stopcock. 
- If you miss the end point, you can step back one or more additions of titrant and re-approach the end point with smaller volume increments (impossible in the real world!). 
- The pH measurements, generation of the titration curve and distribution of the species of the titrand can be displayed or hidden by checking/unchecking the boxes in cells F25 and F26. 
- You can generate samples with unknown concentration(s) of titrand(s) and check the correctness of your answer.
- The "pH" vs. volume data of a titration (columns A and B, starting at line 41) can be imported by the Distribution, Evaluation and Regression modules for further analysis.
</t>
        </r>
        <r>
          <rPr>
            <b/>
            <sz val="10"/>
            <color indexed="81"/>
            <rFont val="Tahoma"/>
            <family val="2"/>
          </rPr>
          <t>Remarks</t>
        </r>
        <r>
          <rPr>
            <sz val="10"/>
            <color indexed="81"/>
            <rFont val="Tahoma"/>
            <family val="2"/>
          </rPr>
          <t xml:space="preserve">: 
- Some components of the titrator may become distorted or misplaced, depending on the screen resolution of your computer and/or the Microsoft Excel version.  The magnetic bar of the stirrer does not swirl in this version (because the programming is dependent of the of the Excel version (ask the author about an animation for the Excel you are using, if you like).
- The effect of the ionic strength, I, on the activity coefficients of the ions is neglected in the “pH” calculations of the </t>
        </r>
        <r>
          <rPr>
            <b/>
            <sz val="10"/>
            <color indexed="81"/>
            <rFont val="Tahoma"/>
            <family val="2"/>
          </rPr>
          <t>Titration</t>
        </r>
        <r>
          <rPr>
            <sz val="10"/>
            <color indexed="81"/>
            <rFont val="Tahoma"/>
            <family val="2"/>
          </rPr>
          <t xml:space="preserve"> module, but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More information in cell B39.
</t>
        </r>
        <r>
          <rPr>
            <b/>
            <sz val="10"/>
            <color indexed="81"/>
            <rFont val="Tahoma"/>
            <family val="2"/>
          </rPr>
          <t>Copyright</t>
        </r>
        <r>
          <rPr>
            <sz val="10"/>
            <color indexed="81"/>
            <rFont val="Tahoma"/>
            <family val="2"/>
          </rPr>
          <t>: This is a new module added in 2014 to the acid-base titration curve simulator CurTiPot (originally a Turbo Basic for DOS program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ans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 xml:space="preserve">In a titration, the </t>
        </r>
        <r>
          <rPr>
            <b/>
            <sz val="10"/>
            <color indexed="81"/>
            <rFont val="Tahoma"/>
            <family val="2"/>
          </rPr>
          <t>sample</t>
        </r>
        <r>
          <rPr>
            <sz val="10"/>
            <color indexed="81"/>
            <rFont val="Tahoma"/>
            <family val="2"/>
          </rPr>
          <t xml:space="preserve"> volume (G15) plus the dilution water, if any (G16),  is called </t>
        </r>
        <r>
          <rPr>
            <b/>
            <sz val="10"/>
            <color indexed="81"/>
            <rFont val="Tahoma"/>
            <family val="2"/>
          </rPr>
          <t>titrand</t>
        </r>
        <r>
          <rPr>
            <sz val="10"/>
            <color indexed="81"/>
            <rFont val="Tahoma"/>
            <family val="2"/>
          </rPr>
          <t xml:space="preserve">. All concentrations in cells B4 to H13 (among others) refer to the </t>
        </r>
        <r>
          <rPr>
            <u/>
            <sz val="10"/>
            <color indexed="81"/>
            <rFont val="Tahoma"/>
            <family val="2"/>
          </rPr>
          <t>sample</t>
        </r>
        <r>
          <rPr>
            <sz val="10"/>
            <color indexed="81"/>
            <rFont val="Tahoma"/>
            <family val="2"/>
          </rPr>
          <t xml:space="preserve">, while the initial pH refers to the </t>
        </r>
        <r>
          <rPr>
            <u/>
            <sz val="10"/>
            <color indexed="81"/>
            <rFont val="Tahoma"/>
            <family val="2"/>
          </rPr>
          <t>titrand</t>
        </r>
        <r>
          <rPr>
            <sz val="10"/>
            <color indexed="81"/>
            <rFont val="Tahoma"/>
            <family val="2"/>
          </rPr>
          <t xml:space="preserve"> (= sample + added water) and, during the titration, to titrand + titrant. As a rule, alkaline samples are titrated with a strong acid (B15) and acid samples with a strong base (C14).
</t>
        </r>
        <r>
          <rPr>
            <u/>
            <sz val="10"/>
            <color indexed="81"/>
            <rFont val="Tahoma"/>
            <family val="2"/>
          </rPr>
          <t>Explanation</t>
        </r>
        <r>
          <rPr>
            <sz val="10"/>
            <color indexed="81"/>
            <rFont val="Tahoma"/>
            <family val="2"/>
          </rPr>
          <t xml:space="preserve">: classically, 5 to 25 mL of titrand (cell F16) are accurately measured (with a volumetric pipet) and transferred into an Erlenmeyer, some drops of a visual indicator are added, as well as some distilled water (cell G16). Titrant is added with a buret while the Erlenmeyer is hand swirled until the indicator changes color at the endpoint of the titration.
In a modern setup, a beaker replaces the Erlenmeyer, a motor driven syringe substitutes the buret, a magnetic stirrer serves to homogenize the solution and a combined glass electrode is immersed in the solution (connected to a pH meter) to measure the pH during the titration. A computer may be used to control the buret and take care of data acquisition.
</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 instead of OH-.</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sor the sample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sample solution.</t>
        </r>
      </text>
    </comment>
    <comment ref="D13"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biprotic acid/base system can be used instead in simulations. Its name and pKas should be filled out in column T.
</t>
        </r>
      </text>
    </comment>
    <comment ref="B14"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4"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B15"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5"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indistiguishable from the solvent. However, if a different acid/base is system is specified in column S, [HB] may be filled out as needed.</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B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6"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6" authorId="0">
      <text>
        <r>
          <rPr>
            <b/>
            <sz val="10"/>
            <color indexed="81"/>
            <rFont val="Tahoma"/>
            <family val="2"/>
          </rPr>
          <t>Gutz:</t>
        </r>
        <r>
          <rPr>
            <sz val="10"/>
            <color indexed="81"/>
            <rFont val="Tahoma"/>
            <family val="2"/>
          </rPr>
          <t xml:space="preserve">
Volume of the aliquot of sample (with the composition given in cells B4 to H10) to be titrated.</t>
        </r>
      </text>
    </comment>
    <comment ref="G16" authorId="0">
      <text>
        <r>
          <rPr>
            <b/>
            <sz val="10"/>
            <color indexed="81"/>
            <rFont val="Tahoma"/>
            <family val="2"/>
          </rPr>
          <t>Gutz:</t>
        </r>
        <r>
          <rPr>
            <sz val="10"/>
            <color indexed="81"/>
            <rFont val="Tahoma"/>
            <family val="2"/>
          </rPr>
          <t xml:space="preserve">
Water is frequently added to the sample until the glass electrode bulb and reference electrode junction are covered by the solution. The (undesirable) effect of dillution can be evaluated by comparing the curves simulated with no water added and with 5 times more water than sample.</t>
        </r>
      </text>
    </comment>
    <comment ref="H16" authorId="0">
      <text>
        <r>
          <rPr>
            <b/>
            <sz val="8"/>
            <color indexed="81"/>
            <rFont val="Tahoma"/>
            <family val="2"/>
          </rPr>
          <t>Gutz:</t>
        </r>
        <r>
          <rPr>
            <sz val="10"/>
            <color indexed="81"/>
            <rFont val="Tahoma"/>
            <family val="2"/>
          </rPr>
          <t xml:space="preserve">
Total  volume before titration (F16+G16)</t>
        </r>
      </text>
    </comment>
    <comment ref="A17"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A18"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F18" authorId="0">
      <text>
        <r>
          <rPr>
            <b/>
            <sz val="8"/>
            <color indexed="81"/>
            <rFont val="Tahoma"/>
            <family val="2"/>
          </rPr>
          <t>Gutz:</t>
        </r>
        <r>
          <rPr>
            <sz val="8"/>
            <color indexed="81"/>
            <rFont val="Tahoma"/>
            <family val="2"/>
          </rPr>
          <t xml:space="preserve">
</t>
        </r>
        <r>
          <rPr>
            <sz val="10"/>
            <color indexed="81"/>
            <rFont val="Tahoma"/>
            <family val="2"/>
          </rPr>
          <t xml:space="preserve">Maximum volume of titrant to be added up to the end of the titration (size or capacity of the syringe to be used with the motor driven buret, cell C20) </t>
        </r>
      </text>
    </comment>
    <comment ref="A19" authorId="2">
      <text>
        <r>
          <rPr>
            <b/>
            <sz val="9"/>
            <color indexed="81"/>
            <rFont val="Tahoma"/>
            <family val="2"/>
          </rPr>
          <t>Gutz:</t>
        </r>
        <r>
          <rPr>
            <sz val="9"/>
            <color indexed="81"/>
            <rFont val="Tahoma"/>
            <family val="2"/>
          </rPr>
          <t xml:space="preserve">
</t>
        </r>
        <r>
          <rPr>
            <sz val="10"/>
            <color indexed="81"/>
            <rFont val="Tahoma"/>
            <family val="2"/>
          </rPr>
          <t xml:space="preserve">Click on </t>
        </r>
        <r>
          <rPr>
            <b/>
            <sz val="10"/>
            <color indexed="81"/>
            <rFont val="Tahoma"/>
            <family val="2"/>
          </rPr>
          <t>Generate</t>
        </r>
        <r>
          <rPr>
            <sz val="10"/>
            <color indexed="81"/>
            <rFont val="Tahoma"/>
            <family val="2"/>
          </rPr>
          <t xml:space="preserve"> to simulate a new sample in the beaker, with the same volume and ingredient(s) chosen in cells B3 to H10, but with different hidden concentration(s), randomly generated in the range from 30% lower to 30% higher than the original concentration(s).  For greater realism of this titration exercise with visual indication, please uncheck F25 and F26.
Click on </t>
        </r>
        <r>
          <rPr>
            <b/>
            <sz val="10"/>
            <color indexed="81"/>
            <rFont val="Tahoma"/>
            <family val="2"/>
          </rPr>
          <t>Show</t>
        </r>
        <r>
          <rPr>
            <sz val="10"/>
            <color indexed="81"/>
            <rFont val="Tahoma"/>
            <family val="2"/>
          </rPr>
          <t xml:space="preserve"> after finishing your titration, to reveal (in cells B3 to H10) the correct concentration(s), to be compared with your results (and appropriateness of the indicator pKa).</t>
        </r>
      </text>
    </comment>
    <comment ref="E21" authorId="2">
      <text>
        <r>
          <rPr>
            <b/>
            <sz val="10"/>
            <color indexed="81"/>
            <rFont val="Tahoma"/>
            <family val="2"/>
          </rPr>
          <t>Gutz:</t>
        </r>
        <r>
          <rPr>
            <sz val="10"/>
            <color indexed="81"/>
            <rFont val="Tahoma"/>
            <family val="2"/>
          </rPr>
          <t xml:space="preserve">
The pH-meter is connected to a pH sensor, the combined glass electrode, consisting of a glass bulb with a buffer solution and a reference electrode inside. The ddp, measured against a concentric external reference electrode is directly proportional to the difference of pH at the internal and external surfaces of the glass membrane.</t>
        </r>
      </text>
    </comment>
    <comment ref="G21" authorId="1">
      <text>
        <r>
          <rPr>
            <b/>
            <sz val="8"/>
            <color indexed="81"/>
            <rFont val="Tahoma"/>
            <family val="2"/>
          </rPr>
          <t>Gutz:</t>
        </r>
        <r>
          <rPr>
            <sz val="8"/>
            <color indexed="81"/>
            <rFont val="Tahoma"/>
            <family val="2"/>
          </rPr>
          <t xml:space="preserve">
</t>
        </r>
        <r>
          <rPr>
            <sz val="10"/>
            <color indexed="81"/>
            <rFont val="Tahoma"/>
            <family val="2"/>
          </rPr>
          <t xml:space="preserve">Click on the button </t>
        </r>
        <r>
          <rPr>
            <b/>
            <sz val="10"/>
            <color indexed="81"/>
            <rFont val="Tahoma"/>
            <family val="2"/>
          </rPr>
          <t>Reset</t>
        </r>
        <r>
          <rPr>
            <sz val="10"/>
            <color indexed="81"/>
            <rFont val="Tahoma"/>
            <family val="2"/>
          </rPr>
          <t xml:space="preserve"> (cell A25) to find the "pH" of the starting solution (defined by cells B3 to H10, F16 and G16), before the addition of titrant.
</t>
        </r>
        <r>
          <rPr>
            <sz val="10"/>
            <color indexed="81"/>
            <rFont val="Tahoma"/>
            <family val="2"/>
          </rPr>
          <t xml:space="preserve">
The pH values shown in cell G21 are accurate only for very diluted solutions (at 25ºC) because the effects of ionic interactions are neglected (deviations of 0.1 or 0.2 in the pH may occur at 0.1 mol/L).
Switch to the </t>
        </r>
        <r>
          <rPr>
            <b/>
            <sz val="10"/>
            <color indexed="81"/>
            <rFont val="Tahoma"/>
            <family val="2"/>
          </rPr>
          <t>Simulation</t>
        </r>
        <r>
          <rPr>
            <sz val="10"/>
            <color indexed="81"/>
            <rFont val="Tahoma"/>
            <family val="2"/>
          </rPr>
          <t xml:space="preserve"> or </t>
        </r>
        <r>
          <rPr>
            <b/>
            <sz val="10"/>
            <color indexed="81"/>
            <rFont val="Tahoma"/>
            <family val="2"/>
          </rPr>
          <t>pH_calc</t>
        </r>
        <r>
          <rPr>
            <sz val="10"/>
            <color indexed="81"/>
            <rFont val="Tahoma"/>
            <family val="2"/>
          </rPr>
          <t xml:space="preserve"> modules to refine the pH calculation of a solution and to find explanations.</t>
        </r>
      </text>
    </comment>
    <comment ref="C22" authorId="2">
      <text>
        <r>
          <rPr>
            <b/>
            <sz val="9"/>
            <color indexed="81"/>
            <rFont val="Tahoma"/>
            <family val="2"/>
          </rPr>
          <t>Gutz:</t>
        </r>
        <r>
          <rPr>
            <sz val="9"/>
            <color indexed="81"/>
            <rFont val="Tahoma"/>
            <family val="2"/>
          </rPr>
          <t xml:space="preserve">
</t>
        </r>
        <r>
          <rPr>
            <sz val="10"/>
            <color indexed="81"/>
            <rFont val="Tahoma"/>
            <family val="2"/>
          </rPr>
          <t>Click on the button Reset (cell A25) to find the "pH" of the starting solution (defined by cells B3 to H10, F16 and G16), before the addition of titrant.
Click repeatedly on buttons A31 to B36 to observe the effect of titrant addition on the solution in the beaker. Watch: the color of the dissolved indicator, measured pH, equilibrium position (may be hidden, uncheck checkbox F26), and the aspect of the pH versus titrant volume curve (may be hidden, uncheck checkbox F25).</t>
        </r>
      </text>
    </comment>
    <comment ref="G24" authorId="2">
      <text>
        <r>
          <rPr>
            <b/>
            <sz val="9"/>
            <color indexed="81"/>
            <rFont val="Tahoma"/>
            <family val="2"/>
          </rPr>
          <t>Gutz:</t>
        </r>
        <r>
          <rPr>
            <sz val="9"/>
            <color indexed="81"/>
            <rFont val="Tahoma"/>
            <family val="2"/>
          </rPr>
          <t xml:space="preserve">
</t>
        </r>
        <r>
          <rPr>
            <sz val="10"/>
            <color indexed="81"/>
            <rFont val="Tahoma"/>
            <family val="2"/>
          </rPr>
          <t xml:space="preserve">In a real titration with visual endpoint indication, the pH is not measured, nor is the equilibrium position shown. </t>
        </r>
      </text>
    </comment>
    <comment ref="B28" authorId="3">
      <text>
        <r>
          <rPr>
            <b/>
            <sz val="8"/>
            <color indexed="81"/>
            <rFont val="Tahoma"/>
            <family val="2"/>
          </rPr>
          <t>Gutz:</t>
        </r>
        <r>
          <rPr>
            <sz val="8"/>
            <color indexed="81"/>
            <rFont val="Tahoma"/>
            <family val="2"/>
          </rPr>
          <t xml:space="preserve">
</t>
        </r>
        <r>
          <rPr>
            <sz val="10"/>
            <color indexed="81"/>
            <rFont val="Tahoma"/>
            <family val="2"/>
          </rPr>
          <t>There are examples of indicators at the end of the Database; phenol red is loaded as default in N3, and its concentrarion can be changed in E6 (to evaluate the error caused by the presence of titrable indicator). Various indicators have 2 or more pKas and color transitions and the Titrators handles one at a time; please copy one of them to B29 (default: from N6), or consider a model indicator with any pKa.</t>
        </r>
      </text>
    </comment>
    <comment ref="A29" authorId="2">
      <text>
        <r>
          <rPr>
            <b/>
            <sz val="9"/>
            <color indexed="81"/>
            <rFont val="Tahoma"/>
            <family val="2"/>
          </rPr>
          <t>Gutz:</t>
        </r>
        <r>
          <rPr>
            <sz val="9"/>
            <color indexed="81"/>
            <rFont val="Tahoma"/>
            <family val="2"/>
          </rPr>
          <t xml:space="preserve">
</t>
        </r>
        <r>
          <rPr>
            <sz val="10"/>
            <color indexed="81"/>
            <rFont val="Tahoma"/>
            <family val="2"/>
          </rPr>
          <t>As a rule of thumb, to obtain accurate results, the pKa of the chosen indicator should be close to the pH at (one of) the stoichiometric point(s) of the titration (or inflections of the titration curve). As an exercise, verify, by simulation, if this is more important for strong or for weak acids and bases; examine also the situation of very diluted samples.</t>
        </r>
      </text>
    </comment>
    <comment ref="H29" authorId="2">
      <text>
        <r>
          <rPr>
            <b/>
            <sz val="9"/>
            <color indexed="81"/>
            <rFont val="Tahoma"/>
            <family val="2"/>
          </rPr>
          <t>Gutz:</t>
        </r>
        <r>
          <rPr>
            <sz val="9"/>
            <color indexed="81"/>
            <rFont val="Tahoma"/>
            <family val="2"/>
          </rPr>
          <t xml:space="preserve">
</t>
        </r>
        <r>
          <rPr>
            <sz val="10"/>
            <color indexed="81"/>
            <rFont val="Tahoma"/>
            <family val="2"/>
          </rPr>
          <t>If a sample with more than one acid or base is simulted, only the distribution of species of the most concentrated one (in line 11) will be shown here.</t>
        </r>
      </text>
    </comment>
    <comment ref="B30" authorId="2">
      <text>
        <r>
          <rPr>
            <b/>
            <sz val="9"/>
            <color indexed="81"/>
            <rFont val="Tahoma"/>
            <family val="2"/>
          </rPr>
          <t>Gutz:</t>
        </r>
        <r>
          <rPr>
            <sz val="9"/>
            <color indexed="81"/>
            <rFont val="Tahoma"/>
            <family val="2"/>
          </rPr>
          <t xml:space="preserve">
</t>
        </r>
        <r>
          <rPr>
            <sz val="10"/>
            <color indexed="81"/>
            <rFont val="Tahoma"/>
            <family val="2"/>
          </rPr>
          <t xml:space="preserve">The colors shown here as default resemble those of phenol red, and indicator with pKa of 7.7 (available in the Database and loaded in N3; pKa2 in N6; concentration in E6)
Indicators with different pKas can be specified in cell B29, shifting the region of the color transition, but not the colors. 
The colors may be changed as follows: mark cells D31 to E35, click on Conditional Formating and edit the two colors. </t>
        </r>
      </text>
    </comment>
    <comment ref="A32" authorId="2">
      <text>
        <r>
          <rPr>
            <b/>
            <sz val="9"/>
            <color indexed="81"/>
            <rFont val="Tahoma"/>
            <family val="2"/>
          </rPr>
          <t>Gutz:</t>
        </r>
        <r>
          <rPr>
            <sz val="9"/>
            <color indexed="81"/>
            <rFont val="Tahoma"/>
            <family val="2"/>
          </rPr>
          <t xml:space="preserve">
</t>
        </r>
        <r>
          <rPr>
            <sz val="10"/>
            <color indexed="81"/>
            <rFont val="Tahoma"/>
            <family val="2"/>
          </rPr>
          <t>The assumption made here is that the colors of the acidic and basic forms of the indicator present the same intensity, but this is frequently not true. Consequently the color transition range becomes more or less displaced from the interval of pH=pKa-1 to pH=pKa+1. The pH of the center of this range found in tables of visual indicators may be used instead of the pKa  in the simulations made here.</t>
        </r>
      </text>
    </comment>
    <comment ref="S34"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S35"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from 2007 - Uncheck/check F25 to replot the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D36" authorId="2">
      <text>
        <r>
          <rPr>
            <b/>
            <sz val="9"/>
            <color indexed="81"/>
            <rFont val="Tahoma"/>
            <family val="2"/>
          </rPr>
          <t>Gutz</t>
        </r>
        <r>
          <rPr>
            <sz val="9"/>
            <color indexed="81"/>
            <rFont val="Tahoma"/>
            <family val="2"/>
          </rPr>
          <t xml:space="preserve">
</t>
        </r>
        <r>
          <rPr>
            <sz val="10"/>
            <color indexed="81"/>
            <rFont val="Tahoma"/>
            <family val="2"/>
          </rPr>
          <t>The stirrer is used in real titrations to homogenize the solution;
it is superfluous in this titration simulator, where homogenization occurs instantly (an animation of the stirring bar is available from the author for specific versions of Excel).</t>
        </r>
      </text>
    </comment>
    <comment ref="S36" authorId="1">
      <text>
        <r>
          <rPr>
            <b/>
            <sz val="10"/>
            <color indexed="81"/>
            <rFont val="Tahoma"/>
            <family val="2"/>
          </rPr>
          <t>Gutz:</t>
        </r>
        <r>
          <rPr>
            <sz val="10"/>
            <color indexed="81"/>
            <rFont val="Tahoma"/>
            <family val="2"/>
          </rPr>
          <t xml:space="preserve">
Click twice on the volume or pH scale to redifine it.
Use Ctrl+Z (as many times as needed) to undo scale expansion</t>
        </r>
      </text>
    </comment>
    <comment ref="S37" authorId="1">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S38" authorId="1">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analyse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Data transfer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Regression:</t>
        </r>
        <r>
          <rPr>
            <sz val="10"/>
            <color indexed="81"/>
            <rFont val="Tahoma"/>
            <family val="2"/>
          </rPr>
          <t xml:space="preserve">
- Copy data of columns A and B from line 41 on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Ionic interactions can be neglected in the simulation of the behavior of visual indicators during titration of diluted acids and bases. Therefore, the effect of the ionic strength, I, on the activity coefficients of the ions is neglected in the “pH” calculations of the Titration module while it is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where more information is available in the comments. 
The use of “pH” instead of pH does not change the volume of the inflections nor does it appreciably change the general shape of the pH vs. volume curves besides a slight vertical shift in some regions, with little effect on the color transition range of the visual indicator. </t>
        </r>
      </text>
    </comment>
    <comment ref="C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A only when F25 is checked, in order to display the graphic.</t>
        </r>
      </text>
    </comment>
    <comment ref="D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B only when F25 is checked, in order to display the graphic.</t>
        </r>
      </text>
    </comment>
    <comment ref="E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1">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1">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List>
</comments>
</file>

<file path=xl/comments4.xml><?xml version="1.0" encoding="utf-8"?>
<comments xmlns="http://schemas.openxmlformats.org/spreadsheetml/2006/main">
  <authors>
    <author>Gutz</author>
    <author>GPQAI-51</author>
    <author>Ivano Gebhardt Rolf Gutz</author>
    <author>gtz</author>
  </authors>
  <commentList>
    <comment ref="G1" authorId="0">
      <text>
        <r>
          <rPr>
            <b/>
            <sz val="10"/>
            <color indexed="81"/>
            <rFont val="Tahoma"/>
            <family val="2"/>
          </rPr>
          <t xml:space="preserve"> "Hands on" the "Simulation of Titration Curves":</t>
        </r>
        <r>
          <rPr>
            <sz val="10"/>
            <color indexed="81"/>
            <rFont val="Tahoma"/>
            <family val="2"/>
          </rPr>
          <t xml:space="preserve">
Obs.: If you haven't learned how and for what acids and bases are titrated, perhaps you should have a look at the Wikipedia or go through a tutorial, e.g., http://www.chemguide.co.uk/physical/acidbaseeqia/phcurves.html and practice with the </t>
        </r>
        <r>
          <rPr>
            <b/>
            <sz val="10"/>
            <color indexed="81"/>
            <rFont val="Tahoma"/>
            <family val="2"/>
          </rPr>
          <t>Titration</t>
        </r>
        <r>
          <rPr>
            <sz val="10"/>
            <color indexed="81"/>
            <rFont val="Tahoma"/>
            <family val="2"/>
          </rPr>
          <t xml:space="preserve"> module first.
Always use the most recent version available at the author’s site http://www.iq.usp.br/gutz/Curtipot_.html, choosing between CurTiPot and CurTiPot option I – the same full program plus balloons with first steps for beginners.
-- Click on the button "Delete retained curves" (cell A34) - all but the last simulated curve will disappear;
- click on the button "Titrate with constant volume additions" (A30) -  the default titration of 20 mL of 0.07 mol/L H3PO4 with 0.1 mol/L NaOH will be generated  with 50 additions of 1 ml  of titrant;
- click on "Titrate with constant pH increments" (A27) -  notice the difference in data distribution;
- click on "Retain curve" (A33);
- alternate between "pH" and pH with buttons at cells A22 and A23 and observe the effect of considering/ignoring ionic interactions
- change the H3PO4 concentration in (C7), press Enter;
- titrate again and retain the curve;
- change pKa2 (cell M6) from 7.2 to 9.2 (Enter) and titrate;
- click on K2 or L2, select another acid; click on J2; 
...
- observe the effect of CO2 absorption by NaOH solution by writing 0.001 in D16;
- add other components to the mixture and titrate;
- add random experimental error to the curve filling values in cells J17 and J18 (e.g., 0.03 and 0.1);
- titrate a phosphate buffer of Na2HPO4 + NaH2PO4 with strong base, retain the curve and titrate it also with strong acid;
- if you have inserted real data in the Evaluation module, you can copy it (A37) and fit your simulated curves to it;
- use your imagination to continue...
</t>
        </r>
        <r>
          <rPr>
            <b/>
            <sz val="10"/>
            <color indexed="81"/>
            <rFont val="Tahoma"/>
            <family val="2"/>
          </rPr>
          <t>Remark</t>
        </r>
        <r>
          <rPr>
            <sz val="10"/>
            <color indexed="81"/>
            <rFont val="Tahoma"/>
            <family val="2"/>
          </rPr>
          <t>: This module of CurTiPot generates curves of "pH" vs. volume and pH vs. volume taking in account exclusively acid base equilibrium in aqueous solution; any other kind of chemical reaction is ignored. Read comments in cells B22, P15, O16 and O17 to distinguish "pH" from pH. 
The table starting at line 41 includes "pH" or pH (=-log activity of H</t>
        </r>
        <r>
          <rPr>
            <vertAlign val="superscript"/>
            <sz val="10"/>
            <color indexed="81"/>
            <rFont val="Tahoma"/>
            <family val="2"/>
          </rPr>
          <t>+</t>
        </r>
        <r>
          <rPr>
            <sz val="10"/>
            <color indexed="81"/>
            <rFont val="Tahoma"/>
            <family val="2"/>
          </rPr>
          <t>) in column B, as well as p[H] (=-log of the concentration of H</t>
        </r>
        <r>
          <rPr>
            <vertAlign val="superscript"/>
            <sz val="10"/>
            <color indexed="81"/>
            <rFont val="Tahoma"/>
            <family val="2"/>
          </rPr>
          <t>+</t>
        </r>
        <r>
          <rPr>
            <sz val="10"/>
            <color indexed="81"/>
            <rFont val="Tahoma"/>
            <family val="2"/>
          </rPr>
          <t xml:space="preserve">), in column V, besides the activity coefficient and the ionic strength.
Refer to the </t>
        </r>
        <r>
          <rPr>
            <b/>
            <sz val="10"/>
            <color indexed="81"/>
            <rFont val="Tahoma"/>
            <family val="2"/>
          </rPr>
          <t>pH_calc</t>
        </r>
        <r>
          <rPr>
            <sz val="10"/>
            <color indexed="81"/>
            <rFont val="Tahoma"/>
            <family val="2"/>
          </rPr>
          <t xml:space="preserve"> module for a more complete description of all equilibrium parameters at a given composition of a solution.
</t>
        </r>
        <r>
          <rPr>
            <b/>
            <sz val="10"/>
            <color indexed="81"/>
            <rFont val="Tahoma"/>
            <family val="2"/>
          </rPr>
          <t>Copyright</t>
        </r>
        <r>
          <rPr>
            <sz val="10"/>
            <color indexed="81"/>
            <rFont val="Tahoma"/>
            <family val="2"/>
          </rPr>
          <t>: This acid-base titration curve simulator is an expanded Excel version of the original Turbo Basic for DOS program CURTIPOT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The titrand is the sample to be evaluated by titration with a strong acid or strong base.
The concentrations entered in cells B4 to H10 refer to the sample before dilution with water, if cell G17&gt;0, but all calculated pHs and graphics take this dilution of the titrand in account. 
Typically, 5 to 25 mL of titrand (cell F17) are carefully measured and placed in a beaker, a combined glass electrode (connected to a pH meter) and a magnetic stirrer bar are introduced and water is added (cell G17) till the sensor and the reference electrode junction are immersed.
A titration is carried out by adding small aliquots of titrant (usually with a buret or motor driven syringe) and registering the pH after stabilization of the reading.</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 or H</t>
        </r>
        <r>
          <rPr>
            <vertAlign val="subscript"/>
            <sz val="12"/>
            <color indexed="81"/>
            <rFont val="Tahoma"/>
            <family val="2"/>
          </rPr>
          <t>4</t>
        </r>
        <r>
          <rPr>
            <sz val="10"/>
            <color indexed="81"/>
            <rFont val="Tahoma"/>
            <family val="2"/>
          </rPr>
          <t>EDTA for EDTA).</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8" authorId="1">
      <text>
        <r>
          <rPr>
            <b/>
            <sz val="8"/>
            <color indexed="81"/>
            <rFont val="Tahoma"/>
            <family val="2"/>
          </rPr>
          <t>GPQAI-51:</t>
        </r>
        <r>
          <rPr>
            <sz val="8"/>
            <color indexed="81"/>
            <rFont val="Tahoma"/>
            <family val="2"/>
          </rPr>
          <t xml:space="preserve">
</t>
        </r>
        <r>
          <rPr>
            <sz val="10"/>
            <color indexed="81"/>
            <rFont val="Tahoma"/>
            <family val="2"/>
          </rPr>
          <t>[H</t>
        </r>
        <r>
          <rPr>
            <vertAlign val="subscript"/>
            <sz val="12"/>
            <color indexed="81"/>
            <rFont val="Tahoma"/>
            <family val="2"/>
          </rPr>
          <t>4</t>
        </r>
        <r>
          <rPr>
            <sz val="10"/>
            <color indexed="81"/>
            <rFont val="Tahoma"/>
            <family val="2"/>
          </rPr>
          <t>EDTA] is green undelined because tetraprotonated EDTA is neutral.</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2">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diprotic acid/base system can be used instead in simulations. Its name and pKas should be filled out in column T.
</t>
        </r>
      </text>
    </comment>
    <comment ref="J14" authorId="3">
      <text>
        <r>
          <rPr>
            <b/>
            <sz val="9"/>
            <color indexed="81"/>
            <rFont val="Tahoma"/>
            <family val="2"/>
          </rPr>
          <t>Gutz:</t>
        </r>
        <r>
          <rPr>
            <sz val="9"/>
            <color indexed="81"/>
            <rFont val="Tahoma"/>
            <family val="2"/>
          </rPr>
          <t xml:space="preserve">
</t>
        </r>
        <r>
          <rPr>
            <sz val="10"/>
            <color indexed="81"/>
            <rFont val="Tahoma"/>
            <family val="2"/>
          </rPr>
          <t xml:space="preserve">Data needed for the calculation of the ionic strength, I, estimation of activity coefficients by the Davies equation (see comment in cell P15) and calculation of pH values (instead of "pH"). This data is not required for the simulation of  "pH" vs. volume curves.
Concentrations refer to the </t>
        </r>
        <r>
          <rPr>
            <b/>
            <sz val="10"/>
            <color indexed="81"/>
            <rFont val="Tahoma"/>
            <family val="2"/>
          </rPr>
          <t>sample</t>
        </r>
        <r>
          <rPr>
            <sz val="10"/>
            <color indexed="81"/>
            <rFont val="Tahoma"/>
            <family val="2"/>
          </rPr>
          <t xml:space="preserve"> (before eventual dilution with water)</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J15" authorId="3">
      <text>
        <r>
          <rPr>
            <b/>
            <sz val="9"/>
            <color indexed="81"/>
            <rFont val="Tahoma"/>
            <family val="2"/>
          </rPr>
          <t>Gutz:</t>
        </r>
        <r>
          <rPr>
            <sz val="9"/>
            <color indexed="81"/>
            <rFont val="Tahoma"/>
            <family val="2"/>
          </rPr>
          <t xml:space="preserve">
</t>
        </r>
        <r>
          <rPr>
            <sz val="10"/>
            <color indexed="81"/>
            <rFont val="Tahoma"/>
            <family val="2"/>
          </rPr>
          <t xml:space="preserve">Minimum counterion concentration in the </t>
        </r>
        <r>
          <rPr>
            <b/>
            <sz val="10"/>
            <color indexed="81"/>
            <rFont val="Tahoma"/>
            <family val="2"/>
          </rPr>
          <t>sample</t>
        </r>
        <r>
          <rPr>
            <sz val="10"/>
            <color indexed="81"/>
            <rFont val="Tahoma"/>
            <family val="2"/>
          </rPr>
          <t xml:space="preserve"> calculated automatically to attain charge balance with the ingredients of the sample to be titrated, specified in cells B4 to H10. 
If water is added (cell G17&gt;0), concentrations appearing here for the </t>
        </r>
        <r>
          <rPr>
            <b/>
            <sz val="10"/>
            <color indexed="81"/>
            <rFont val="Tahoma"/>
            <family val="2"/>
          </rPr>
          <t>sample</t>
        </r>
        <r>
          <rPr>
            <sz val="10"/>
            <color indexed="81"/>
            <rFont val="Tahoma"/>
            <family val="2"/>
          </rPr>
          <t xml:space="preserve"> will be H17/F17 times lower in the </t>
        </r>
        <r>
          <rPr>
            <b/>
            <sz val="10"/>
            <color indexed="81"/>
            <rFont val="Tahoma"/>
            <family val="2"/>
          </rPr>
          <t>titrand</t>
        </r>
        <r>
          <rPr>
            <sz val="10"/>
            <color indexed="81"/>
            <rFont val="Tahoma"/>
            <family val="2"/>
          </rPr>
          <t>.
For example: simulation of the titration of a sample with 0.1 mol/L of acetate ions (one column, from B to H) and 0.1 mol/L NH</t>
        </r>
        <r>
          <rPr>
            <vertAlign val="subscript"/>
            <sz val="10"/>
            <color indexed="81"/>
            <rFont val="Tahoma"/>
            <family val="2"/>
          </rPr>
          <t>4</t>
        </r>
        <r>
          <rPr>
            <vertAlign val="superscript"/>
            <sz val="10"/>
            <color indexed="81"/>
            <rFont val="Tahoma"/>
            <family val="2"/>
          </rPr>
          <t>+</t>
        </r>
        <r>
          <rPr>
            <sz val="10"/>
            <color indexed="81"/>
            <rFont val="Tahoma"/>
            <family val="2"/>
          </rPr>
          <t xml:space="preserve"> (another, from B to H) will be taken as charge balanced (as if it were a solution of 0.1 mol/L ammonium acetate). 
If the simulation of the titration of a sample composed of sodium acetate and ammonium chloride is intended, the concentrations of 0.1 mol/L sodium and 0.1 mol/L chloride ions must be entered in cells K16 and  K17 respectively.</t>
        </r>
      </text>
    </comment>
    <comment ref="K15" authorId="3">
      <text>
        <r>
          <rPr>
            <b/>
            <sz val="9"/>
            <color indexed="81"/>
            <rFont val="Tahoma"/>
            <family val="2"/>
          </rPr>
          <t>Gutz:</t>
        </r>
        <r>
          <rPr>
            <sz val="9"/>
            <color indexed="81"/>
            <rFont val="Tahoma"/>
            <family val="2"/>
          </rPr>
          <t xml:space="preserve">
</t>
        </r>
        <r>
          <rPr>
            <sz val="10"/>
            <color indexed="81"/>
            <rFont val="Tahoma"/>
            <family val="2"/>
          </rPr>
          <t xml:space="preserve">The presence of strong electrolytes (besides the minimum of counterions calculated in cells J15 and J16) can be specified in column K.
CurTiPot assumes that values entered in K16 and K17 (as well as in B4 to H10) for the </t>
        </r>
        <r>
          <rPr>
            <b/>
            <sz val="10"/>
            <color indexed="81"/>
            <rFont val="Tahoma"/>
            <family val="2"/>
          </rPr>
          <t>titrand</t>
        </r>
        <r>
          <rPr>
            <sz val="10"/>
            <color indexed="81"/>
            <rFont val="Tahoma"/>
            <family val="2"/>
          </rPr>
          <t xml:space="preserve"> refer to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with water, if any (G17&gt;0). In practice, electrolytes are sometimes dissolved in the dilution water, e.g., during pKa determinations, to keep the ionic strength high and reasonably constant, thus reducing the variability of the activity coefficients during the titration.
This situation is handled here by multiplying the wanted extra electrolyte concentration in the diluted </t>
        </r>
        <r>
          <rPr>
            <b/>
            <sz val="10"/>
            <color indexed="81"/>
            <rFont val="Tahoma"/>
            <family val="2"/>
          </rPr>
          <t>titrand</t>
        </r>
        <r>
          <rPr>
            <sz val="10"/>
            <color indexed="81"/>
            <rFont val="Tahoma"/>
            <family val="2"/>
          </rPr>
          <t xml:space="preserve"> by H17/F17. 
Example: to simulate the effect of the presence of 0.2 mol/L KNO</t>
        </r>
        <r>
          <rPr>
            <vertAlign val="subscript"/>
            <sz val="10"/>
            <color indexed="81"/>
            <rFont val="Tahoma"/>
            <family val="2"/>
          </rPr>
          <t>3</t>
        </r>
        <r>
          <rPr>
            <sz val="10"/>
            <color indexed="81"/>
            <rFont val="Tahoma"/>
            <family val="2"/>
          </rPr>
          <t xml:space="preserve"> by adding 10 mL of 0.6 mol/L KNO</t>
        </r>
        <r>
          <rPr>
            <vertAlign val="subscript"/>
            <sz val="10"/>
            <color indexed="81"/>
            <rFont val="Tahoma"/>
            <family val="2"/>
          </rPr>
          <t>3</t>
        </r>
        <r>
          <rPr>
            <sz val="10"/>
            <color indexed="81"/>
            <rFont val="Tahoma"/>
            <family val="2"/>
          </rPr>
          <t xml:space="preserve"> to 20 mL of </t>
        </r>
        <r>
          <rPr>
            <b/>
            <sz val="10"/>
            <color indexed="81"/>
            <rFont val="Tahoma"/>
            <family val="2"/>
          </rPr>
          <t>sample</t>
        </r>
        <r>
          <rPr>
            <sz val="10"/>
            <color indexed="81"/>
            <rFont val="Tahoma"/>
            <family val="2"/>
          </rPr>
          <t xml:space="preserve">, write 0.3 (or 0.2*30/20) in K16 and K17.  
Only anions and cations with one charge are considered here; for simulations with multivalent electrolytes, use the </t>
        </r>
        <r>
          <rPr>
            <b/>
            <sz val="10"/>
            <color indexed="81"/>
            <rFont val="Tahoma"/>
            <family val="2"/>
          </rPr>
          <t>pH_calc</t>
        </r>
        <r>
          <rPr>
            <sz val="10"/>
            <color indexed="81"/>
            <rFont val="Tahoma"/>
            <family val="2"/>
          </rPr>
          <t xml:space="preserve"> module.</t>
        </r>
      </text>
    </comment>
    <comment ref="L15" authorId="3">
      <text>
        <r>
          <rPr>
            <b/>
            <sz val="9"/>
            <color indexed="81"/>
            <rFont val="Tahoma"/>
            <family val="2"/>
          </rPr>
          <t>Gutz:</t>
        </r>
        <r>
          <rPr>
            <sz val="9"/>
            <color indexed="81"/>
            <rFont val="Tahoma"/>
            <family val="2"/>
          </rPr>
          <t xml:space="preserve">
</t>
        </r>
        <r>
          <rPr>
            <sz val="10"/>
            <color indexed="81"/>
            <rFont val="Tahoma"/>
            <family val="2"/>
          </rPr>
          <t xml:space="preserve">This is just de sum of the minimum counterion concentration and other extra electrolytes in the </t>
        </r>
        <r>
          <rPr>
            <b/>
            <sz val="10"/>
            <color indexed="81"/>
            <rFont val="Tahoma"/>
            <family val="2"/>
          </rPr>
          <t>sample</t>
        </r>
        <r>
          <rPr>
            <sz val="10"/>
            <color indexed="81"/>
            <rFont val="Tahoma"/>
            <family val="2"/>
          </rPr>
          <t xml:space="preserve">. If water is added (cell G17&gt;0) the concentrations will be H17/F17 times lower in the </t>
        </r>
        <r>
          <rPr>
            <b/>
            <sz val="10"/>
            <color indexed="81"/>
            <rFont val="Tahoma"/>
            <family val="2"/>
          </rPr>
          <t>titrand</t>
        </r>
        <r>
          <rPr>
            <sz val="10"/>
            <color indexed="81"/>
            <rFont val="Tahoma"/>
            <family val="2"/>
          </rPr>
          <t>. 
The actual ionic strength, I, of the titrand will be displayed at cell S41 after clicking on buttons A25 or A28.</t>
        </r>
      </text>
    </comment>
    <comment ref="P15" authorId="2">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general and unspecific Davies equation, that renders the same minimum in activity  around ±0.5 mol/L for any ion.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N16" authorId="0">
      <text>
        <r>
          <rPr>
            <b/>
            <sz val="10"/>
            <color indexed="81"/>
            <rFont val="Tahoma"/>
            <family val="2"/>
          </rPr>
          <t>Gutz:</t>
        </r>
        <r>
          <rPr>
            <sz val="10"/>
            <color indexed="81"/>
            <rFont val="Tahoma"/>
            <family val="2"/>
          </rPr>
          <t xml:space="preserve">
Optional simulation of random errors in pH measurements, specified as standard deviation of the residues along the complete curve, e.g., 0.03</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7" authorId="0">
      <text>
        <r>
          <rPr>
            <b/>
            <sz val="10"/>
            <color indexed="81"/>
            <rFont val="Tahoma"/>
            <family val="2"/>
          </rPr>
          <t>Gutz:</t>
        </r>
        <r>
          <rPr>
            <sz val="10"/>
            <color indexed="81"/>
            <rFont val="Tahoma"/>
            <family val="2"/>
          </rPr>
          <t xml:space="preserve">
Volume of the aliquot of sample (with the composition given above) to be titrated</t>
        </r>
      </text>
    </comment>
    <comment ref="G17" authorId="0">
      <text>
        <r>
          <rPr>
            <b/>
            <sz val="10"/>
            <color indexed="81"/>
            <rFont val="Tahoma"/>
            <family val="2"/>
          </rPr>
          <t>Gutz:</t>
        </r>
        <r>
          <rPr>
            <sz val="10"/>
            <color indexed="81"/>
            <rFont val="Tahoma"/>
            <family val="2"/>
          </rPr>
          <t xml:space="preserve">
Water is frequently added to the sample in potentiometric titrations until the glass electrode bulb and reference electrode junction are covered by the solution.
In rigorous titrations aiming the determination of pKas, instead of water, an electrolyte solution may be preferred to keep a nearly constant ionic strength I. 
The (undesirable) flattening effect of sample dilution on the titration curve can be observed by exaggerating this volume in a simulation, retaining the curve and repeating the titration without added water.</t>
        </r>
      </text>
    </comment>
    <comment ref="H17" authorId="0">
      <text>
        <r>
          <rPr>
            <b/>
            <sz val="8"/>
            <color indexed="81"/>
            <rFont val="Tahoma"/>
            <family val="2"/>
          </rPr>
          <t>Gutz:</t>
        </r>
        <r>
          <rPr>
            <sz val="10"/>
            <color indexed="81"/>
            <rFont val="Tahoma"/>
            <family val="2"/>
          </rPr>
          <t xml:space="preserve">
Total  volume before titration (F16+G16)</t>
        </r>
      </text>
    </comment>
    <comment ref="N17" authorId="0">
      <text>
        <r>
          <rPr>
            <b/>
            <sz val="10"/>
            <color indexed="81"/>
            <rFont val="Tahoma"/>
            <family val="2"/>
          </rPr>
          <t>Gutz:</t>
        </r>
        <r>
          <rPr>
            <sz val="10"/>
            <color indexed="81"/>
            <rFont val="Tahoma"/>
            <family val="2"/>
          </rPr>
          <t xml:space="preserve">
Optional simulation of random errors in volume measurements (buret meniscus reading), specified as standard deviation of the residues along the complete curve, e.g., 0.05 </t>
        </r>
      </text>
    </comment>
    <comment ref="O17" authorId="0">
      <text>
        <r>
          <rPr>
            <b/>
            <sz val="8"/>
            <color indexed="81"/>
            <rFont val="Tahoma"/>
            <family val="2"/>
          </rPr>
          <t>Gutz:</t>
        </r>
        <r>
          <rPr>
            <sz val="8"/>
            <color indexed="81"/>
            <rFont val="Tahoma"/>
            <family val="2"/>
          </rPr>
          <t xml:space="preserve">
</t>
        </r>
        <r>
          <rPr>
            <sz val="10"/>
            <color indexed="81"/>
            <rFont val="Tahoma"/>
            <family val="2"/>
          </rPr>
          <t>Read comment  in cells O16 and P15.</t>
        </r>
      </text>
    </comment>
    <comment ref="A18"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J18" authorId="3">
      <text>
        <r>
          <rPr>
            <b/>
            <sz val="9"/>
            <color indexed="81"/>
            <rFont val="Tahoma"/>
            <family val="2"/>
          </rPr>
          <t>Gutz:</t>
        </r>
        <r>
          <rPr>
            <sz val="9"/>
            <color indexed="81"/>
            <rFont val="Tahoma"/>
            <family val="2"/>
          </rPr>
          <t xml:space="preserve">
</t>
        </r>
        <r>
          <rPr>
            <sz val="10"/>
            <color indexed="81"/>
            <rFont val="Tahoma"/>
            <family val="2"/>
          </rPr>
          <t>Minimum counterion concentration calculated automatically to attain charge balance of the ingredients of the titrant specified in cells B15 to D17.
E.g., for a 0.1 mol/L NaOH solution indicated in C15, a 0.1 mol/L concentration (of monovalent cation like Na</t>
        </r>
        <r>
          <rPr>
            <vertAlign val="superscript"/>
            <sz val="10"/>
            <color indexed="81"/>
            <rFont val="Tahoma"/>
            <family val="2"/>
          </rPr>
          <t>+</t>
        </r>
        <r>
          <rPr>
            <sz val="10"/>
            <color indexed="81"/>
            <rFont val="Tahoma"/>
            <family val="2"/>
          </rPr>
          <t xml:space="preserve">) will appear in J19; cells K19 and K20 can remain zeroed or changed at will. </t>
        </r>
      </text>
    </comment>
    <comment ref="A19"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N19" authorId="2">
      <text>
        <r>
          <rPr>
            <b/>
            <sz val="8"/>
            <color indexed="81"/>
            <rFont val="Tahoma"/>
            <family val="2"/>
          </rPr>
          <t xml:space="preserve">Gutz:
</t>
        </r>
        <r>
          <rPr>
            <sz val="10"/>
            <color indexed="81"/>
            <rFont val="Tahoma"/>
            <family val="2"/>
          </rPr>
          <t>Keep delay = 0 for titration at maximum speed (dictated by the computer performance)
Choose a delay of 1 to 10 s to pause between additions of titrant, resembling the time required to wait for pH measurements to stabilize during a real titrations.
Press Escape during a titration to override the delay and continue at max. speed.</t>
        </r>
      </text>
    </comment>
    <comment ref="A20"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 in the titrant</t>
        </r>
      </text>
    </comment>
    <comment ref="F20" authorId="0">
      <text>
        <r>
          <rPr>
            <b/>
            <sz val="8"/>
            <color indexed="81"/>
            <rFont val="Tahoma"/>
            <family val="2"/>
          </rPr>
          <t>Gutz:</t>
        </r>
        <r>
          <rPr>
            <sz val="8"/>
            <color indexed="81"/>
            <rFont val="Tahoma"/>
            <family val="2"/>
          </rPr>
          <t xml:space="preserve">
</t>
        </r>
        <r>
          <rPr>
            <sz val="10"/>
            <color indexed="81"/>
            <rFont val="Tahoma"/>
            <family val="2"/>
          </rPr>
          <t>Maximum volume (in mL) of titrant to be added up to the end of the titration (may be less or equal to the capacity of the buret ).</t>
        </r>
      </text>
    </comment>
    <comment ref="G20" authorId="0">
      <text>
        <r>
          <rPr>
            <b/>
            <sz val="8"/>
            <color indexed="81"/>
            <rFont val="Tahoma"/>
            <family val="2"/>
          </rPr>
          <t xml:space="preserve">Gutz: 
</t>
        </r>
        <r>
          <rPr>
            <sz val="10"/>
            <color indexed="81"/>
            <rFont val="Tahoma"/>
            <family val="2"/>
          </rPr>
          <t xml:space="preserve">Total number of additions of the titrant from the buret (max.: 120; typical: 30 or 50).
You can choose constant volume additions (A24) or constant pH increment (A27). 
</t>
        </r>
      </text>
    </comment>
    <comment ref="B22" authorId="2">
      <text>
        <r>
          <rPr>
            <b/>
            <sz val="8"/>
            <color indexed="81"/>
            <rFont val="Tahoma"/>
            <family val="2"/>
          </rPr>
          <t>Gutz:</t>
        </r>
        <r>
          <rPr>
            <sz val="8"/>
            <color indexed="81"/>
            <rFont val="Tahoma"/>
            <family val="2"/>
          </rPr>
          <t xml:space="preserve">
</t>
        </r>
        <r>
          <rPr>
            <b/>
            <sz val="10"/>
            <color indexed="81"/>
            <rFont val="Tahoma"/>
            <family val="2"/>
          </rPr>
          <t>"pH"</t>
        </r>
        <r>
          <rPr>
            <sz val="10"/>
            <color indexed="81"/>
            <rFont val="Tahoma"/>
            <family val="2"/>
          </rPr>
          <t xml:space="preserve"> values are calculated by using concentrations in the law of mass action expressions supplied with thermodynamic equilibrium constants. Such constants (like most of those in the Database) are obtained by extrapolation to infinite dilution and, therefore, appropriate only for very diluted solutions. In the </t>
        </r>
        <r>
          <rPr>
            <b/>
            <sz val="10"/>
            <color indexed="81"/>
            <rFont val="Tahoma"/>
            <family val="2"/>
          </rPr>
          <t xml:space="preserve">pH </t>
        </r>
        <r>
          <rPr>
            <sz val="10"/>
            <color indexed="81"/>
            <rFont val="Tahoma"/>
            <family val="2"/>
          </rPr>
          <t>and</t>
        </r>
        <r>
          <rPr>
            <b/>
            <sz val="10"/>
            <color indexed="81"/>
            <rFont val="Tahoma"/>
            <family val="2"/>
          </rPr>
          <t xml:space="preserve"> p[H]</t>
        </r>
        <r>
          <rPr>
            <sz val="10"/>
            <color indexed="81"/>
            <rFont val="Tahoma"/>
            <family val="2"/>
          </rPr>
          <t xml:space="preserve"> calculations, the constants are corrected for the estimated effect of ion-ion interactions at the ionic strength, I, of the solution. 
Furthermore the </t>
        </r>
        <r>
          <rPr>
            <b/>
            <sz val="10"/>
            <color indexed="81"/>
            <rFont val="Tahoma"/>
            <family val="2"/>
          </rPr>
          <t>pH</t>
        </r>
        <r>
          <rPr>
            <sz val="10"/>
            <color indexed="81"/>
            <rFont val="Tahoma"/>
            <family val="2"/>
          </rPr>
          <t xml:space="preserve"> calculation takes in account that the ddp of the usual pH sensor, a combined glass electrode, is directly proportional to -log a</t>
        </r>
        <r>
          <rPr>
            <vertAlign val="subscript"/>
            <sz val="12"/>
            <color indexed="81"/>
            <rFont val="Tahoma"/>
            <family val="2"/>
          </rPr>
          <t xml:space="preserve">H+ </t>
        </r>
        <r>
          <rPr>
            <sz val="10"/>
            <color indexed="81"/>
            <rFont val="Tahoma"/>
            <family val="2"/>
          </rPr>
          <t xml:space="preserve">(while </t>
        </r>
        <r>
          <rPr>
            <b/>
            <sz val="10"/>
            <color indexed="81"/>
            <rFont val="Tahoma"/>
            <family val="2"/>
          </rPr>
          <t xml:space="preserve">p[H] </t>
        </r>
        <r>
          <rPr>
            <sz val="10"/>
            <color indexed="81"/>
            <rFont val="Tahoma"/>
            <family val="2"/>
          </rPr>
          <t>= -log [H</t>
        </r>
        <r>
          <rPr>
            <vertAlign val="superscript"/>
            <sz val="10"/>
            <color indexed="81"/>
            <rFont val="Tahoma"/>
            <family val="2"/>
          </rPr>
          <t>+</t>
        </r>
        <r>
          <rPr>
            <sz val="10"/>
            <color indexed="81"/>
            <rFont val="Tahoma"/>
            <family val="2"/>
          </rPr>
          <t>], see more information in the pH_calc module). 
The activity of hydrated protons or hydronium ions is given by a</t>
        </r>
        <r>
          <rPr>
            <vertAlign val="subscript"/>
            <sz val="12"/>
            <color indexed="81"/>
            <rFont val="Tahoma"/>
            <family val="2"/>
          </rPr>
          <t>H+</t>
        </r>
        <r>
          <rPr>
            <sz val="10"/>
            <color indexed="81"/>
            <rFont val="Tahoma"/>
            <family val="2"/>
          </rPr>
          <t xml:space="preserve"> = [H</t>
        </r>
        <r>
          <rPr>
            <vertAlign val="superscript"/>
            <sz val="12"/>
            <color indexed="81"/>
            <rFont val="Tahoma"/>
            <family val="2"/>
          </rPr>
          <t>+</t>
        </r>
        <r>
          <rPr>
            <sz val="10"/>
            <color indexed="81"/>
            <rFont val="Tahoma"/>
            <family val="2"/>
          </rPr>
          <t xml:space="preserve">] </t>
        </r>
        <r>
          <rPr>
            <sz val="10"/>
            <color indexed="81"/>
            <rFont val="Symbol"/>
            <family val="1"/>
            <charset val="2"/>
          </rPr>
          <t>g</t>
        </r>
        <r>
          <rPr>
            <vertAlign val="subscript"/>
            <sz val="12"/>
            <color indexed="81"/>
            <rFont val="Tahoma"/>
            <family val="2"/>
          </rPr>
          <t>H+</t>
        </r>
        <r>
          <rPr>
            <sz val="10"/>
            <color indexed="81"/>
            <rFont val="Tahoma"/>
            <family val="2"/>
          </rPr>
          <t xml:space="preserve"> and the activity coefficient </t>
        </r>
        <r>
          <rPr>
            <sz val="10"/>
            <color indexed="81"/>
            <rFont val="Symbol"/>
            <family val="1"/>
            <charset val="2"/>
          </rPr>
          <t>g</t>
        </r>
        <r>
          <rPr>
            <sz val="10"/>
            <color indexed="81"/>
            <rFont val="Tahoma"/>
            <family val="2"/>
          </rPr>
          <t xml:space="preserve"> is estimated in CurTiPot by using the Davies equation and shown in column T, starting at line 41. See related comments in cells P15, O16 and O17.</t>
        </r>
      </text>
    </comment>
    <comment ref="B23" authorId="3">
      <text>
        <r>
          <rPr>
            <b/>
            <sz val="9"/>
            <color indexed="81"/>
            <rFont val="Tahoma"/>
            <family val="2"/>
          </rPr>
          <t>Gutz:</t>
        </r>
        <r>
          <rPr>
            <sz val="9"/>
            <color indexed="81"/>
            <rFont val="Tahoma"/>
            <family val="2"/>
          </rPr>
          <t xml:space="preserve">
</t>
        </r>
        <r>
          <rPr>
            <sz val="10"/>
            <color indexed="81"/>
            <rFont val="Tahoma"/>
            <family val="2"/>
          </rPr>
          <t>Read comment in cell B22 and check cells K16, 17, 19 e 20 for correct calculation of I, required for estimation of activities and pH.</t>
        </r>
      </text>
    </comment>
    <comment ref="O26" authorId="2">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O27" authorId="2">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(of Excel older than 12 from 2007 - Repeat the last simulation of a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O28" authorId="2">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29" authorId="2">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smoothing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O30" authorId="2">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analyze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2">
      <text>
        <r>
          <rPr>
            <b/>
            <sz val="8"/>
            <color indexed="81"/>
            <rFont val="Tahoma"/>
            <family val="2"/>
          </rPr>
          <t>Gutz:</t>
        </r>
        <r>
          <rPr>
            <sz val="8"/>
            <color indexed="81"/>
            <rFont val="Tahoma"/>
            <family val="2"/>
          </rPr>
          <t xml:space="preserve">
</t>
        </r>
        <r>
          <rPr>
            <sz val="10"/>
            <color indexed="81"/>
            <rFont val="Tahoma"/>
            <family val="2"/>
          </rPr>
          <t xml:space="preserve">Data can be transferred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 xml:space="preserve">Regression </t>
        </r>
        <r>
          <rPr>
            <sz val="10"/>
            <color indexed="81"/>
            <rFont val="Tahoma"/>
            <family val="2"/>
          </rPr>
          <t>automatically by clicking on specific buttons available in these modules, or manually, as follows:
- Copy data of columns A and B starting at line 41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CurTiPot's Virtual Titrator does not (yet) correct for the effect of ionic strength, I, on activity coefficients, taken as unity. Therefore, the "pH" is closer to =-log of the concentration of H</t>
        </r>
        <r>
          <rPr>
            <vertAlign val="superscript"/>
            <sz val="10"/>
            <color indexed="81"/>
            <rFont val="Tahoma"/>
            <family val="2"/>
          </rPr>
          <t>+</t>
        </r>
        <r>
          <rPr>
            <sz val="10"/>
            <color indexed="81"/>
            <rFont val="Tahoma"/>
            <family val="2"/>
          </rPr>
          <t xml:space="preserve"> than to=-log activity of H</t>
        </r>
        <r>
          <rPr>
            <vertAlign val="superscript"/>
            <sz val="10"/>
            <color indexed="81"/>
            <rFont val="Tahoma"/>
            <family val="2"/>
          </rPr>
          <t>+</t>
        </r>
        <r>
          <rPr>
            <sz val="10"/>
            <color indexed="81"/>
            <rFont val="Tahoma"/>
            <family val="2"/>
          </rPr>
          <t>. This does not change the volume of the inflections, nor the general shape of the curves although a slight vertical shift of some regions of the curve is expected. 
The apparent pKas and pKw for a given I can be computed in pH_Calc and pasted  here in cells K3 to Q10 of this spreadsheet to correct this limitation and obtain  p[H].
Refer to the</t>
        </r>
        <r>
          <rPr>
            <b/>
            <sz val="10"/>
            <color indexed="81"/>
            <rFont val="Tahoma"/>
            <family val="2"/>
          </rPr>
          <t xml:space="preserve"> pH_Calc </t>
        </r>
        <r>
          <rPr>
            <sz val="10"/>
            <color indexed="81"/>
            <rFont val="Tahoma"/>
            <family val="2"/>
          </rPr>
          <t xml:space="preserve">module to calculate the pH and activity coefficients of any aqueous solution and to </t>
        </r>
        <r>
          <rPr>
            <b/>
            <sz val="10"/>
            <color indexed="81"/>
            <rFont val="Tahoma"/>
            <family val="2"/>
          </rPr>
          <t>Regression</t>
        </r>
        <r>
          <rPr>
            <sz val="10"/>
            <color indexed="81"/>
            <rFont val="Tahoma"/>
            <family val="2"/>
          </rPr>
          <t xml:space="preserve"> to analyze data taking activity coefficients in account.
</t>
        </r>
      </text>
    </comment>
    <comment ref="C39" authorId="2">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use this column for Evaluation or Regression. 
Values displayed  to illustrate the simulated dispersion in the volume dispensing by the "buret".
This column will remain blank when null dispersion is chosen in J17 and J18.</t>
        </r>
      </text>
    </comment>
    <comment ref="D39" authorId="2">
      <text>
        <r>
          <rPr>
            <b/>
            <sz val="8"/>
            <color indexed="81"/>
            <rFont val="Tahoma"/>
            <family val="2"/>
          </rPr>
          <t>Gutz:</t>
        </r>
        <r>
          <rPr>
            <sz val="8"/>
            <color indexed="81"/>
            <rFont val="Tahoma"/>
            <family val="2"/>
          </rPr>
          <t xml:space="preserve">
</t>
        </r>
        <r>
          <rPr>
            <sz val="10"/>
            <color indexed="81"/>
            <rFont val="Tahoma"/>
            <family val="2"/>
          </rPr>
          <t>These pH values with dispersion will be overlaid in the graphic
This column will remain blank when null dispersion is chosen in J17 and J18</t>
        </r>
      </text>
    </comment>
    <comment ref="E39" authorId="2">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2">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2">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2">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2">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T40" authorId="1">
      <text>
        <r>
          <rPr>
            <b/>
            <sz val="8"/>
            <color indexed="81"/>
            <rFont val="Tahoma"/>
            <family val="2"/>
          </rPr>
          <t>Gutz:</t>
        </r>
        <r>
          <rPr>
            <b/>
            <sz val="10"/>
            <color indexed="81"/>
            <rFont val="Tahoma"/>
            <family val="2"/>
          </rPr>
          <t xml:space="preserve">
</t>
        </r>
        <r>
          <rPr>
            <sz val="10"/>
            <color indexed="81"/>
            <rFont val="Tahoma"/>
            <family val="2"/>
          </rPr>
          <t>Summation of counterions and extra ions already taken in account in I (column S). See J14 for more information.</t>
        </r>
        <r>
          <rPr>
            <sz val="8"/>
            <color indexed="81"/>
            <rFont val="Tahoma"/>
            <family val="2"/>
          </rPr>
          <t xml:space="preserve">
</t>
        </r>
      </text>
    </comment>
  </commentList>
</comments>
</file>

<file path=xl/comments5.xml><?xml version="1.0" encoding="utf-8"?>
<comments xmlns="http://schemas.openxmlformats.org/spreadsheetml/2006/main">
  <authors>
    <author>Gutz</author>
    <author>Ivano Gebhardt Rolf Gutz</author>
    <author>GPQAI-51</author>
    <author>Ivano G. R. Gutz</author>
  </authors>
  <commentList>
    <comment ref="G1" authorId="0">
      <text>
        <r>
          <rPr>
            <b/>
            <sz val="8"/>
            <color indexed="81"/>
            <rFont val="Tahoma"/>
            <family val="2"/>
          </rPr>
          <t>Gutz:</t>
        </r>
        <r>
          <rPr>
            <sz val="8"/>
            <color indexed="81"/>
            <rFont val="Tahoma"/>
            <family val="2"/>
          </rPr>
          <t xml:space="preserve">
</t>
        </r>
        <r>
          <rPr>
            <sz val="10"/>
            <color indexed="81"/>
            <rFont val="Tahoma"/>
            <family val="2"/>
          </rPr>
          <t xml:space="preserve">This module generates Distribution Diagrams, Buffer Capacity Curves and Protonation Curves as a function of pH for any acid-base system and also presents the same curves as a function of added titrant volume during a titration (real or virtual). To unravel the species equilibria along a titration curve with more than one weak acid or base in the sample, the systems can be plotted one at a time. The color transition of visual indicators can be also be inferred, helping to chose the right one for a given stoichiometric point.
Like most modules of CurTiPot </t>
        </r>
        <r>
          <rPr>
            <b/>
            <sz val="10"/>
            <color indexed="81"/>
            <rFont val="Tahoma"/>
            <family val="2"/>
          </rPr>
          <t>Distribution</t>
        </r>
        <r>
          <rPr>
            <sz val="10"/>
            <color indexed="81"/>
            <rFont val="Tahoma"/>
            <family val="2"/>
          </rPr>
          <t xml:space="preserve"> will not run properly until  macros are enabled following instructions at cell A22 of module pH_calc.
Remark: all curves are computed at a fixed ionic strength chosen in C7 (more information in cell B7).</t>
        </r>
        <r>
          <rPr>
            <sz val="8"/>
            <color indexed="81"/>
            <rFont val="Tahoma"/>
            <family val="2"/>
          </rPr>
          <t xml:space="preserve">
</t>
        </r>
        <r>
          <rPr>
            <sz val="10"/>
            <color indexed="81"/>
            <rFont val="Tahoma"/>
            <family val="2"/>
          </rPr>
          <t xml:space="preserve">The distribution diagrams (or alpha plots) of acids and bases reveal the molar fraction of each species in equilibrium at any pH of the solution. For example, a phosphoric acid / phosphate system at pH 7.0 (considering I=0 for a very dilutes solution):
</t>
        </r>
        <r>
          <rPr>
            <sz val="10"/>
            <color indexed="81"/>
            <rFont val="Symbol"/>
            <family val="1"/>
            <charset val="2"/>
          </rPr>
          <t>a</t>
        </r>
        <r>
          <rPr>
            <vertAlign val="subscript"/>
            <sz val="12"/>
            <color indexed="81"/>
            <rFont val="Symbol"/>
            <family val="1"/>
            <charset val="2"/>
          </rPr>
          <t>0</t>
        </r>
        <r>
          <rPr>
            <sz val="10"/>
            <color indexed="81"/>
            <rFont val="Symbol"/>
            <family val="1"/>
            <charset val="2"/>
          </rPr>
          <t xml:space="preserve"> </t>
        </r>
        <r>
          <rPr>
            <sz val="10"/>
            <color indexed="81"/>
            <rFont val="Tahoma"/>
            <family val="2"/>
          </rPr>
          <t>= 0.00  or 0% of phosphate; log</t>
        </r>
        <r>
          <rPr>
            <sz val="10"/>
            <color indexed="81"/>
            <rFont val="Symbol"/>
            <family val="1"/>
            <charset val="2"/>
          </rPr>
          <t xml:space="preserve"> a</t>
        </r>
        <r>
          <rPr>
            <vertAlign val="subscript"/>
            <sz val="12"/>
            <color indexed="81"/>
            <rFont val="Symbol"/>
            <family val="1"/>
            <charset val="2"/>
          </rPr>
          <t>0</t>
        </r>
        <r>
          <rPr>
            <sz val="10"/>
            <color indexed="81"/>
            <rFont val="Symbol"/>
            <family val="1"/>
            <charset val="2"/>
          </rPr>
          <t xml:space="preserve"> = -5.76 
a</t>
        </r>
        <r>
          <rPr>
            <vertAlign val="subscript"/>
            <sz val="12"/>
            <color indexed="81"/>
            <rFont val="Symbol"/>
            <family val="1"/>
            <charset val="2"/>
          </rPr>
          <t>1</t>
        </r>
        <r>
          <rPr>
            <sz val="10"/>
            <color indexed="81"/>
            <rFont val="Tahoma"/>
            <family val="2"/>
          </rPr>
          <t xml:space="preserve"> = 0.387  or 38.7% of hydrogen phosphate; log</t>
        </r>
        <r>
          <rPr>
            <sz val="10"/>
            <color indexed="81"/>
            <rFont val="Symbol"/>
            <family val="1"/>
            <charset val="2"/>
          </rPr>
          <t xml:space="preserve"> a</t>
        </r>
        <r>
          <rPr>
            <vertAlign val="subscript"/>
            <sz val="12"/>
            <color indexed="81"/>
            <rFont val="Symbol"/>
            <family val="1"/>
            <charset val="2"/>
          </rPr>
          <t>1</t>
        </r>
        <r>
          <rPr>
            <sz val="10"/>
            <color indexed="81"/>
            <rFont val="Tahoma"/>
            <family val="2"/>
          </rPr>
          <t xml:space="preserve"> = -0,412 </t>
        </r>
        <r>
          <rPr>
            <sz val="10"/>
            <color indexed="81"/>
            <rFont val="Symbol"/>
            <family val="1"/>
            <charset val="2"/>
          </rPr>
          <t xml:space="preserve">
a</t>
        </r>
        <r>
          <rPr>
            <vertAlign val="subscript"/>
            <sz val="12"/>
            <color indexed="81"/>
            <rFont val="Symbol"/>
            <family val="1"/>
            <charset val="2"/>
          </rPr>
          <t>2</t>
        </r>
        <r>
          <rPr>
            <sz val="10"/>
            <color indexed="81"/>
            <rFont val="Symbol"/>
            <family val="1"/>
            <charset val="2"/>
          </rPr>
          <t xml:space="preserve"> </t>
        </r>
        <r>
          <rPr>
            <sz val="10"/>
            <color indexed="81"/>
            <rFont val="Tahoma"/>
            <family val="2"/>
          </rPr>
          <t xml:space="preserve">= 0.613 or 61.3% of dihydrogen phosphate; log </t>
        </r>
        <r>
          <rPr>
            <sz val="10"/>
            <color indexed="81"/>
            <rFont val="Symbol"/>
            <family val="1"/>
            <charset val="2"/>
          </rPr>
          <t>a</t>
        </r>
        <r>
          <rPr>
            <vertAlign val="subscript"/>
            <sz val="12"/>
            <color indexed="81"/>
            <rFont val="Symbol"/>
            <family val="1"/>
            <charset val="2"/>
          </rPr>
          <t>2</t>
        </r>
        <r>
          <rPr>
            <sz val="10"/>
            <color indexed="81"/>
            <rFont val="Tahoma"/>
            <family val="2"/>
          </rPr>
          <t xml:space="preserve"> = -0,213</t>
        </r>
        <r>
          <rPr>
            <sz val="10"/>
            <color indexed="81"/>
            <rFont val="Symbol"/>
            <family val="1"/>
            <charset val="2"/>
          </rPr>
          <t xml:space="preserve">
a</t>
        </r>
        <r>
          <rPr>
            <vertAlign val="subscript"/>
            <sz val="12"/>
            <color indexed="81"/>
            <rFont val="Symbol"/>
            <family val="1"/>
            <charset val="2"/>
          </rPr>
          <t>3</t>
        </r>
        <r>
          <rPr>
            <sz val="10"/>
            <color indexed="81"/>
            <rFont val="Symbol"/>
            <family val="1"/>
            <charset val="2"/>
          </rPr>
          <t xml:space="preserve"> </t>
        </r>
        <r>
          <rPr>
            <sz val="10"/>
            <color indexed="81"/>
            <rFont val="Tahoma"/>
            <family val="2"/>
          </rPr>
          <t xml:space="preserve">= 0.00   or 0% of phosphoric acid; log </t>
        </r>
        <r>
          <rPr>
            <sz val="10"/>
            <color indexed="81"/>
            <rFont val="Symbol"/>
            <family val="1"/>
            <charset val="2"/>
          </rPr>
          <t>a</t>
        </r>
        <r>
          <rPr>
            <vertAlign val="subscript"/>
            <sz val="12"/>
            <color indexed="81"/>
            <rFont val="Symbol"/>
            <family val="1"/>
            <charset val="2"/>
          </rPr>
          <t>3</t>
        </r>
        <r>
          <rPr>
            <sz val="10"/>
            <color indexed="81"/>
            <rFont val="Tahoma"/>
            <family val="2"/>
          </rPr>
          <t xml:space="preserve"> = -5.07</t>
        </r>
        <r>
          <rPr>
            <sz val="10"/>
            <color indexed="81"/>
            <rFont val="Symbol"/>
            <family val="1"/>
            <charset val="2"/>
          </rPr>
          <t xml:space="preserve">
</t>
        </r>
        <r>
          <rPr>
            <sz val="10"/>
            <color indexed="81"/>
            <rFont val="Tahoma"/>
            <family val="2"/>
          </rPr>
          <t xml:space="preserve">Since the index i of </t>
        </r>
        <r>
          <rPr>
            <sz val="12"/>
            <color indexed="81"/>
            <rFont val="Symbol"/>
            <family val="1"/>
            <charset val="2"/>
          </rPr>
          <t>a</t>
        </r>
        <r>
          <rPr>
            <vertAlign val="subscript"/>
            <sz val="12"/>
            <color indexed="81"/>
            <rFont val="Tahoma"/>
            <family val="2"/>
          </rPr>
          <t>i</t>
        </r>
        <r>
          <rPr>
            <sz val="10"/>
            <color indexed="81"/>
            <rFont val="Tahoma"/>
            <family val="2"/>
          </rPr>
          <t xml:space="preserve"> is the number or protons bound to the base, the dominant species is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with 61.3%, followed by HPO</t>
        </r>
        <r>
          <rPr>
            <vertAlign val="subscript"/>
            <sz val="12"/>
            <color indexed="81"/>
            <rFont val="Tahoma"/>
            <family val="2"/>
          </rPr>
          <t>4</t>
        </r>
        <r>
          <rPr>
            <vertAlign val="superscript"/>
            <sz val="12"/>
            <color indexed="81"/>
            <rFont val="Tahoma"/>
            <family val="2"/>
          </rPr>
          <t>=</t>
        </r>
        <r>
          <rPr>
            <sz val="10"/>
            <color indexed="81"/>
            <rFont val="Tahoma"/>
            <family val="2"/>
          </rPr>
          <t xml:space="preserve"> with 38.7%, while only 0.0002%  of phosphate and 0.0009% of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coexist at this pH; the average number of protons bound to each phosphate at this pH is 1.61, as shown in column P.
All numerical values of the graphs are available in columns O to BL.
</t>
        </r>
      </text>
    </comment>
    <comment ref="E2" authorId="0">
      <text>
        <r>
          <rPr>
            <b/>
            <sz val="8"/>
            <color indexed="81"/>
            <rFont val="Tahoma"/>
            <family val="2"/>
          </rPr>
          <t>Gutz:</t>
        </r>
        <r>
          <rPr>
            <sz val="8"/>
            <color indexed="81"/>
            <rFont val="Tahoma"/>
            <family val="2"/>
          </rPr>
          <t xml:space="preserve">
</t>
        </r>
        <r>
          <rPr>
            <sz val="10"/>
            <color indexed="81"/>
            <rFont val="Tahoma"/>
            <family val="2"/>
          </rPr>
          <t>How to load pKas:
a) Click on control E3, slide along the list, click on a name; the  pKas will be loaded from the Database; finally, click on B3 to plot the curves;
b) Systems unavailable in the Database (real or hypothetical) should be added first to the Database; write the name and pKas in line 10 of the Database (or at the end of the list); return to Distribution and proceed as in a).
To add frequently used systems permanently to the Database, simply save the updated curtipot_.xlsm file.</t>
        </r>
      </text>
    </comment>
    <comment ref="G2" authorId="0">
      <text>
        <r>
          <rPr>
            <b/>
            <sz val="8"/>
            <color indexed="81"/>
            <rFont val="Tahoma"/>
            <family val="2"/>
          </rPr>
          <t>Gutz:</t>
        </r>
        <r>
          <rPr>
            <sz val="8"/>
            <color indexed="81"/>
            <rFont val="Tahoma"/>
            <family val="2"/>
          </rPr>
          <t xml:space="preserve">
</t>
        </r>
        <r>
          <rPr>
            <sz val="10"/>
            <color indexed="81"/>
            <rFont val="Tahoma"/>
            <family val="2"/>
          </rPr>
          <t xml:space="preserve">The betas are cumulative (or global) protonation constants, obtained by multiplying the protonation constants Kp from 1 to i, with i stepping up from 1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t>
        </r>
      </text>
    </comment>
    <comment ref="E4" authorId="0">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write here! 
Click on </t>
        </r>
        <r>
          <rPr>
            <b/>
            <sz val="10"/>
            <color indexed="81"/>
            <rFont val="Tahoma"/>
            <family val="2"/>
          </rPr>
          <t>D3</t>
        </r>
        <r>
          <rPr>
            <sz val="10"/>
            <color indexed="81"/>
            <rFont val="Tahoma"/>
            <family val="2"/>
          </rPr>
          <t xml:space="preserve"> to select an acid or base.
To try other real or hypothetical systems,  write their pKas in line 10 of the </t>
        </r>
        <r>
          <rPr>
            <b/>
            <sz val="10"/>
            <color indexed="81"/>
            <rFont val="Tahoma"/>
            <family val="2"/>
          </rPr>
          <t>Database</t>
        </r>
        <r>
          <rPr>
            <sz val="10"/>
            <color indexed="81"/>
            <rFont val="Tahoma"/>
            <family val="2"/>
          </rPr>
          <t xml:space="preserve"> (or at the end of the list); return to </t>
        </r>
        <r>
          <rPr>
            <b/>
            <sz val="10"/>
            <color indexed="81"/>
            <rFont val="Tahoma"/>
            <family val="2"/>
          </rPr>
          <t>Distribution</t>
        </r>
        <r>
          <rPr>
            <sz val="10"/>
            <color indexed="81"/>
            <rFont val="Tahoma"/>
            <family val="2"/>
          </rPr>
          <t xml:space="preserve"> and proceed as before. 
</t>
        </r>
      </text>
    </comment>
    <comment ref="F4"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G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H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B7" authorId="2">
      <text>
        <r>
          <rPr>
            <b/>
            <sz val="8"/>
            <color indexed="81"/>
            <rFont val="Tahoma"/>
            <family val="2"/>
          </rPr>
          <t>Gutz:</t>
        </r>
        <r>
          <rPr>
            <sz val="10"/>
            <color indexed="81"/>
            <rFont val="Tahoma"/>
            <family val="2"/>
          </rPr>
          <t xml:space="preserve">
All curves and the isoelectric point calculated using the Davies equation for the estimation of the activity coefficient at this fixed ionic strength, I, chosen in C7 (limitations of the Davies equation at I&gt;0,1 mol/L are commented in the pH_calc module).
Along a titration, while the pH is changing, uncharged species can be replaced by charged ones and vice versa, causing some variation of the ionic strength (not taken in account here, where I is assumed to be constant, but computed in the pH_calc, Simulation and Regression modules). 
However, when the aim of a titration is to determine equilibrium constants like pKas (instead of concentrations in a sample), an effort is usually made to keep I as constant as possible by addition of inert electrolyte (like KNO</t>
        </r>
        <r>
          <rPr>
            <vertAlign val="subscript"/>
            <sz val="12"/>
            <color indexed="81"/>
            <rFont val="Tahoma"/>
            <family val="2"/>
          </rPr>
          <t>3</t>
        </r>
        <r>
          <rPr>
            <sz val="10"/>
            <color indexed="81"/>
            <rFont val="Tahoma"/>
            <family val="2"/>
          </rPr>
          <t xml:space="preserve"> or NaClO</t>
        </r>
        <r>
          <rPr>
            <vertAlign val="subscript"/>
            <sz val="12"/>
            <color indexed="81"/>
            <rFont val="Tahoma"/>
            <family val="2"/>
          </rPr>
          <t>4</t>
        </r>
        <r>
          <rPr>
            <sz val="10"/>
            <color indexed="81"/>
            <rFont val="Tahoma"/>
            <family val="2"/>
          </rPr>
          <t>) to the titrant and titrand solutions. Eventually, many titrations as made at decreasing I and  extrapolation to I=0 is made to obtain thermodynamic pKas, like most in the Database of CurTiPot.</t>
        </r>
      </text>
    </comment>
    <comment ref="M7"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B8" authorId="3">
      <text>
        <r>
          <rPr>
            <b/>
            <sz val="8"/>
            <color indexed="81"/>
            <rFont val="Tahoma"/>
            <family val="2"/>
          </rPr>
          <t xml:space="preserve">Gutz:
</t>
        </r>
        <r>
          <rPr>
            <sz val="10"/>
            <color indexed="81"/>
            <rFont val="Tahoma"/>
            <family val="2"/>
          </rPr>
          <t>Buffer Capacity=Buffer Strength x ln(10)</t>
        </r>
        <r>
          <rPr>
            <b/>
            <sz val="8"/>
            <color indexed="81"/>
            <rFont val="Tahoma"/>
            <family val="2"/>
          </rPr>
          <t xml:space="preserve">
</t>
        </r>
        <r>
          <rPr>
            <sz val="10"/>
            <color indexed="81"/>
            <rFont val="Tahoma"/>
            <family val="2"/>
          </rPr>
          <t xml:space="preserve">The Buffer Capacity, BC, (or Buffer Index) can be understood as the concentration of strong acid or base that, when added to the solution under consideration, would shift the pH by one unit, in a hypothetical pH region of constant BC. Since the BC changes (sometimes, rapidly) with pH (as shown in Figures 2a, 2b, 4a and 4b), estimates of the resistance against acid or base addition are reasonably accurate only for a </t>
        </r>
        <r>
          <rPr>
            <sz val="10"/>
            <color indexed="81"/>
            <rFont val="Symbol"/>
            <family val="1"/>
            <charset val="2"/>
          </rPr>
          <t>D</t>
        </r>
        <r>
          <rPr>
            <sz val="10"/>
            <color indexed="81"/>
            <rFont val="Tahoma"/>
            <family val="2"/>
          </rPr>
          <t>pH of 0.1 or less. 
See an example of BC in comment of cell N37.
Use the pH_calc module to work out more examples (read also cell E27).
Detailed explanation and references, see, e.g., the open access article: Understanding, Deriving, and Computing Buffer Capacity, by Edward T. Urbansky and Michael R. Schock, Journal of Chemical Education, 2000, Vol. 77, 1640-44, http://pubs.acs.org/doi/pdf/10.1021/ed077p1640.</t>
        </r>
      </text>
    </comment>
    <comment ref="M8"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(2007) - Uncheck/check F25 to replot the curve) </t>
        </r>
        <r>
          <rPr>
            <b/>
            <sz val="10"/>
            <color indexed="81"/>
            <rFont val="Tahoma"/>
            <family val="2"/>
          </rPr>
          <t xml:space="preserve">
</t>
        </r>
        <r>
          <rPr>
            <sz val="10"/>
            <color indexed="81"/>
            <rFont val="Tahoma"/>
            <family val="2"/>
          </rPr>
          <t>- Press Ctrl+C (and wait for processing)
- Switch to the Word document or another Excel spreadsheet 
- Select Insert/Paste Special/Picture (enhanced metafile)
Obs.: do NOT use Ctrl+C and Ctrl+V, because the figure may become coupled with CurTiPot and respond to changes.</t>
        </r>
      </text>
    </comment>
    <comment ref="M9"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D10"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X10"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BI11" authorId="2">
      <text>
        <r>
          <rPr>
            <b/>
            <sz val="8"/>
            <color indexed="81"/>
            <rFont val="Tahoma"/>
            <family val="2"/>
          </rPr>
          <t>Gutz:</t>
        </r>
        <r>
          <rPr>
            <sz val="8"/>
            <color indexed="81"/>
            <rFont val="Tahoma"/>
            <family val="2"/>
          </rPr>
          <t xml:space="preserve">
</t>
        </r>
        <r>
          <rPr>
            <sz val="10"/>
            <color indexed="81"/>
            <rFont val="Tahoma"/>
            <family val="2"/>
          </rPr>
          <t>Mean charge of species HiB at each pH.</t>
        </r>
      </text>
    </comment>
    <comment ref="BK11" authorId="2">
      <text>
        <r>
          <rPr>
            <b/>
            <sz val="8"/>
            <color indexed="81"/>
            <rFont val="Tahoma"/>
            <family val="2"/>
          </rPr>
          <t>Gutz:</t>
        </r>
        <r>
          <rPr>
            <sz val="8"/>
            <color indexed="81"/>
            <rFont val="Tahoma"/>
            <family val="2"/>
          </rPr>
          <t xml:space="preserve">
</t>
        </r>
        <r>
          <rPr>
            <sz val="10"/>
            <color indexed="81"/>
            <rFont val="Tahoma"/>
            <family val="2"/>
          </rPr>
          <t>Mean charge of species HiB at each volume.</t>
        </r>
      </text>
    </comment>
    <comment ref="C1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(pI)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at the end of this page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acid / base  are in a neutral form, e.g., [OH-] at pH less than 11.6, where H</t>
        </r>
        <r>
          <rPr>
            <vertAlign val="subscript"/>
            <sz val="12"/>
            <color indexed="81"/>
            <rFont val="Tahoma"/>
            <family val="2"/>
          </rPr>
          <t>2</t>
        </r>
        <r>
          <rPr>
            <sz val="10"/>
            <color indexed="81"/>
            <rFont val="Tahoma"/>
            <family val="2"/>
          </rPr>
          <t>O largely predominates.</t>
        </r>
      </text>
    </comment>
    <comment ref="N37"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N107"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two or more H</t>
        </r>
        <r>
          <rPr>
            <vertAlign val="subscript"/>
            <sz val="14"/>
            <color indexed="81"/>
            <rFont val="Tahoma"/>
            <family val="2"/>
          </rPr>
          <t>i</t>
        </r>
        <r>
          <rPr>
            <sz val="10"/>
            <color indexed="81"/>
            <rFont val="Tahoma"/>
            <family val="2"/>
          </rPr>
          <t xml:space="preserve">B with different number of protons </t>
        </r>
        <r>
          <rPr>
            <b/>
            <sz val="10"/>
            <color indexed="81"/>
            <rFont val="Tahoma"/>
            <family val="2"/>
          </rPr>
          <t>i</t>
        </r>
        <r>
          <rPr>
            <sz val="10"/>
            <color indexed="81"/>
            <rFont val="Tahoma"/>
            <family val="2"/>
          </rPr>
          <t xml:space="preserve"> coexisting at this pH; </t>
        </r>
        <r>
          <rPr>
            <strike/>
            <sz val="10"/>
            <color indexed="81"/>
            <rFont val="Tahoma"/>
            <family val="2"/>
          </rPr>
          <t>h</t>
        </r>
        <r>
          <rPr>
            <sz val="10"/>
            <color indexed="81"/>
            <rFont val="Tahoma"/>
            <family val="2"/>
          </rPr>
          <t xml:space="preserve"> is the sum of the molar fraction (cells in lines 44 to 60) times the</t>
        </r>
        <r>
          <rPr>
            <b/>
            <sz val="10"/>
            <color indexed="81"/>
            <rFont val="Tahoma"/>
            <family val="2"/>
          </rPr>
          <t xml:space="preserve"> i</t>
        </r>
        <r>
          <rPr>
            <sz val="10"/>
            <color indexed="81"/>
            <rFont val="Tahoma"/>
            <family val="2"/>
          </rPr>
          <t xml:space="preserve"> of each species.</t>
        </r>
      </text>
    </comment>
    <comment ref="N13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(Ip) of polyfunctional species  (zwitterions) like amino acids is the pH where there is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base is in a neutral form, e.g., [OH-] at pH less than 11,6, where H</t>
        </r>
        <r>
          <rPr>
            <vertAlign val="subscript"/>
            <sz val="12"/>
            <color indexed="81"/>
            <rFont val="Tahoma"/>
            <family val="2"/>
          </rPr>
          <t>2</t>
        </r>
        <r>
          <rPr>
            <sz val="10"/>
            <color indexed="81"/>
            <rFont val="Tahoma"/>
            <family val="2"/>
          </rPr>
          <t>O largely predominates.</t>
        </r>
      </text>
    </comment>
  </commentList>
</comments>
</file>

<file path=xl/comments6.xml><?xml version="1.0" encoding="utf-8"?>
<comments xmlns="http://schemas.openxmlformats.org/spreadsheetml/2006/main">
  <authors>
    <author>Gutz</author>
    <author>Ivano Gebhardt Rolf Gutz</author>
    <author>gtz</author>
  </authors>
  <commentList>
    <comment ref="F2" authorId="0">
      <text>
        <r>
          <rPr>
            <b/>
            <sz val="8"/>
            <color indexed="81"/>
            <rFont val="Tahoma"/>
            <family val="2"/>
          </rPr>
          <t>Gutz:</t>
        </r>
        <r>
          <rPr>
            <sz val="8"/>
            <color indexed="81"/>
            <rFont val="Tahoma"/>
            <family val="2"/>
          </rPr>
          <t xml:space="preserve">
</t>
        </r>
        <r>
          <rPr>
            <sz val="10"/>
            <color indexed="81"/>
            <rFont val="Tahoma"/>
            <family val="2"/>
          </rPr>
          <t xml:space="preserve">Interpolation with smoothing is a valuable tool to more precisely locate visible inflections on titration curves with low to moderate dispersion. The algorithm of Evaluation is based on cubic spline smoothing [http://en.wikipedia.org/wiki/Smoothing_spline].
Evaluation, like any other module of CurTiPot, will not run until you enable macros following instructions at cell A22 of module pH_calc;
Multiple inflections, displayed in column P after clicking </t>
        </r>
        <r>
          <rPr>
            <b/>
            <sz val="10"/>
            <color indexed="81"/>
            <rFont val="Tahoma"/>
            <family val="2"/>
          </rPr>
          <t>Process</t>
        </r>
        <r>
          <rPr>
            <sz val="10"/>
            <color indexed="81"/>
            <rFont val="Tahoma"/>
            <family val="2"/>
          </rPr>
          <t xml:space="preserve"> (cell E3), may reflect the stepwise deprotonation of a multiprotic acid like phosphoric or the stepwise protonation of bases like ethylenediamine or EDTA, or may instead be originated by a mixture of various acids or bases with different pKas in a sample. Data dispersion (scatter, noise) can produce artifacts like false inflections and there are suggestions in cell P3 on how to handle such situation, but do not expect accurate results from poor data.
The program accepts from 4 up to 300 experimental (or simulated) data pairs; the degree of smoothing is adjustable; up to one thousand points can be interpolated; and 0 to 15 inflections can be detected.
To assist the calculations of the sample (titrand) ingredients concentration, there is a spreadsheet starting at cell O21.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Although Regression is superior to Evaluation for hidden or overlapped inflections, no chemometric tool can extract accurate results from poor data (insufficient measurements, data with high scatter, etc.).
</t>
        </r>
      </text>
    </comment>
    <comment ref="B3" authorId="0">
      <text>
        <r>
          <rPr>
            <b/>
            <sz val="8"/>
            <color indexed="81"/>
            <rFont val="Tahoma"/>
            <family val="2"/>
          </rPr>
          <t>Gutz:</t>
        </r>
        <r>
          <rPr>
            <sz val="8"/>
            <color indexed="81"/>
            <rFont val="Tahoma"/>
            <family val="2"/>
          </rPr>
          <t xml:space="preserve">
</t>
        </r>
        <r>
          <rPr>
            <sz val="10"/>
            <color indexed="81"/>
            <rFont val="Tahoma"/>
            <family val="2"/>
          </rPr>
          <t xml:space="preserve">Click on </t>
        </r>
        <r>
          <rPr>
            <b/>
            <sz val="10"/>
            <color indexed="81"/>
            <rFont val="Tahoma"/>
            <family val="2"/>
          </rPr>
          <t>Clear</t>
        </r>
        <r>
          <rPr>
            <sz val="10"/>
            <color indexed="81"/>
            <rFont val="Tahoma"/>
            <family val="2"/>
          </rPr>
          <t xml:space="preserve"> to remove previous data and results and chose one option:
- Enter your experimental data (during a titration, type as you measure and click </t>
        </r>
        <r>
          <rPr>
            <b/>
            <sz val="10"/>
            <color indexed="81"/>
            <rFont val="Tahoma"/>
            <family val="2"/>
          </rPr>
          <t>Process</t>
        </r>
        <r>
          <rPr>
            <sz val="10"/>
            <color indexed="81"/>
            <rFont val="Tahoma"/>
            <family val="2"/>
          </rPr>
          <t xml:space="preserve"> at any time to fit a curve).
- Copy data previously generated in the </t>
        </r>
        <r>
          <rPr>
            <b/>
            <sz val="10"/>
            <color indexed="81"/>
            <rFont val="Tahoma"/>
            <family val="2"/>
          </rPr>
          <t>Simulation</t>
        </r>
        <r>
          <rPr>
            <sz val="10"/>
            <color indexed="81"/>
            <rFont val="Tahoma"/>
            <family val="2"/>
          </rPr>
          <t xml:space="preserve"> or </t>
        </r>
        <r>
          <rPr>
            <b/>
            <sz val="10"/>
            <color indexed="81"/>
            <rFont val="Tahoma"/>
            <family val="2"/>
          </rPr>
          <t>Titration</t>
        </r>
        <r>
          <rPr>
            <sz val="10"/>
            <color indexed="81"/>
            <rFont val="Tahoma"/>
            <family val="2"/>
          </rPr>
          <t xml:space="preserve"> modules by clicking on the respective </t>
        </r>
        <r>
          <rPr>
            <b/>
            <sz val="10"/>
            <color indexed="81"/>
            <rFont val="Tahoma"/>
            <family val="2"/>
          </rPr>
          <t>Copy</t>
        </r>
        <r>
          <rPr>
            <sz val="10"/>
            <color indexed="81"/>
            <rFont val="Tahoma"/>
            <family val="2"/>
          </rPr>
          <t xml:space="preserve"> buttons.
- Paste data sets of </t>
        </r>
        <r>
          <rPr>
            <b/>
            <sz val="10"/>
            <color indexed="81"/>
            <rFont val="Tahoma"/>
            <family val="2"/>
          </rPr>
          <t>Vol</t>
        </r>
        <r>
          <rPr>
            <sz val="10"/>
            <color indexed="81"/>
            <rFont val="Tahoma"/>
            <family val="2"/>
          </rPr>
          <t xml:space="preserve">. and </t>
        </r>
        <r>
          <rPr>
            <b/>
            <sz val="10"/>
            <color indexed="81"/>
            <rFont val="Tahoma"/>
            <family val="2"/>
          </rPr>
          <t>pH</t>
        </r>
        <r>
          <rPr>
            <sz val="10"/>
            <color indexed="81"/>
            <rFont val="Tahoma"/>
            <family val="2"/>
          </rPr>
          <t xml:space="preserve"> (or other parameters) from a real or simulated titration (or other experiment). 
Minimum number of points: 4
Maximum number of points: 300</t>
        </r>
      </text>
    </comment>
    <comment ref="H3" authorId="1">
      <text>
        <r>
          <rPr>
            <b/>
            <sz val="8"/>
            <color indexed="81"/>
            <rFont val="Tahoma"/>
            <family val="2"/>
          </rPr>
          <t>Gutz:</t>
        </r>
        <r>
          <rPr>
            <sz val="8"/>
            <color indexed="81"/>
            <rFont val="Tahoma"/>
            <family val="2"/>
          </rPr>
          <t xml:space="preserve">
</t>
        </r>
        <r>
          <rPr>
            <sz val="10"/>
            <color indexed="81"/>
            <rFont val="Tahoma"/>
            <family val="2"/>
          </rPr>
          <t>The smoothing factor is selected empirically, by visual inspection (the correlation coefficient, shown in cell N4, does not help much). Begin, for example, with 80%, process, observe figures 1 and 2, and increase/decrease this value until you reach o compromise of best filtering-out of the data dispersion (scatter) without noticeable distortion (systematic flattening) of the region of the inflection. 
For curves presenting a sharp and a tiny inflection, select one at a time (selecting the volume range in cells K3 and K4) and adjust the degree of smoothing individually.  
0% - minimum filtering, cubic spline curve passes though all points.
100%- maximum filtering; the fitted curve approaches linearity; de correlation coefficient decreases.</t>
        </r>
      </text>
    </comment>
    <comment ref="J3" authorId="1">
      <text>
        <r>
          <rPr>
            <b/>
            <sz val="8"/>
            <color indexed="81"/>
            <rFont val="Tahoma"/>
            <family val="2"/>
          </rPr>
          <t>Gutz:</t>
        </r>
        <r>
          <rPr>
            <sz val="8"/>
            <color indexed="81"/>
            <rFont val="Tahoma"/>
            <family val="2"/>
          </rPr>
          <t xml:space="preserve">
</t>
        </r>
        <r>
          <rPr>
            <sz val="10"/>
            <color indexed="81"/>
            <rFont val="Tahoma"/>
            <family val="2"/>
          </rPr>
          <t>Starting volume for the smoothing/interpolation/inflection detection process. 
Zero is the typical value.</t>
        </r>
      </text>
    </comment>
    <comment ref="P3" authorId="2">
      <text>
        <r>
          <rPr>
            <b/>
            <sz val="9"/>
            <color indexed="81"/>
            <rFont val="Tahoma"/>
            <family val="2"/>
          </rPr>
          <t>Gutz:</t>
        </r>
        <r>
          <rPr>
            <sz val="9"/>
            <color indexed="81"/>
            <rFont val="Tahoma"/>
            <family val="2"/>
          </rPr>
          <t xml:space="preserve">
</t>
        </r>
        <r>
          <rPr>
            <sz val="10"/>
            <color indexed="81"/>
            <rFont val="Tahoma"/>
            <family val="2"/>
          </rPr>
          <t xml:space="preserve">This is the setting of the minimum peak amplitude to be detected as valid on the 1st derivative curve by the algorithm of the auto-finder. 
Copy the ‘guess value’ from cell S3 to cell Q3 or chose a dpH/dV value in figure 2 so that it is exceeded only by the maxima (or minima) you want to detect (but not by scatter or other artifacts). Click on Process (cell E3) to observe the effect.
 If necessary, adjust values in cells Q3 and I3 and Process again. </t>
        </r>
      </text>
    </comment>
    <comment ref="H4" authorId="1">
      <text>
        <r>
          <rPr>
            <b/>
            <sz val="8"/>
            <color indexed="81"/>
            <rFont val="Tahoma"/>
            <family val="2"/>
          </rPr>
          <t>Gutz:</t>
        </r>
        <r>
          <rPr>
            <sz val="8"/>
            <color indexed="81"/>
            <rFont val="Tahoma"/>
            <family val="2"/>
          </rPr>
          <t xml:space="preserve">
</t>
        </r>
        <r>
          <rPr>
            <sz val="10"/>
            <color indexed="81"/>
            <rFont val="Tahoma"/>
            <family val="2"/>
          </rPr>
          <t xml:space="preserve">Defines the number of points to be interpolated between the initial (K3) and the final volume (K4). 
Default: 300 (for slow computers use 200 or 100); minimum: 4; maximum: 1000 (columns T to W will be calculated but graphics will display the first 300 points; click on each curve with the right mouse button, chose Select data, edit each data set by increasing T, U, V and W from 306 to 1006.
</t>
        </r>
      </text>
    </comment>
    <comment ref="J4" authorId="1">
      <text>
        <r>
          <rPr>
            <b/>
            <sz val="8"/>
            <color indexed="81"/>
            <rFont val="Tahoma"/>
            <family val="2"/>
          </rPr>
          <t>Gutz:</t>
        </r>
        <r>
          <rPr>
            <sz val="8"/>
            <color indexed="81"/>
            <rFont val="Tahoma"/>
            <family val="2"/>
          </rPr>
          <t xml:space="preserve">
</t>
        </r>
        <r>
          <rPr>
            <sz val="10"/>
            <color indexed="81"/>
            <rFont val="Tahoma"/>
            <family val="2"/>
          </rPr>
          <t xml:space="preserve">Upper volume limit for the smoothing /interpolation/ inflection detection process. 
For curves presenting sharp tiny inflections together, select one at a time (by volume range) and adjust the degree of smoothing.  </t>
        </r>
      </text>
    </comment>
    <comment ref="R4" authorId="1">
      <text>
        <r>
          <rPr>
            <b/>
            <sz val="8"/>
            <color indexed="81"/>
            <rFont val="Tahoma"/>
            <family val="2"/>
          </rPr>
          <t>Gutz:</t>
        </r>
        <r>
          <rPr>
            <sz val="8"/>
            <color indexed="81"/>
            <rFont val="Tahoma"/>
            <family val="2"/>
          </rPr>
          <t xml:space="preserve">
</t>
        </r>
        <r>
          <rPr>
            <sz val="10"/>
            <color indexed="81"/>
            <rFont val="Tahoma"/>
            <family val="2"/>
          </rPr>
          <t xml:space="preserve">Stoichiometric points (or "end points") of potentiometric acid-base titrations correspond to the volumes where the pH vs. Vol curves present inflections, easily located by looking for maxima in the first derivative curves (or a minima, when a base is titrated with an acid) as well as detecting zero crossing points in the second derivative curves. 
Once the degree of smoothing (cell I3) of the spline interpolation is tuned to the data set and the peak amplitude filter (cell Q3) is set to discard false peaks in the derivative curve (caused by scattered/noisy data), the auto-finder interpolates the inflections in the pH vs. Vol. curve automatically and with improved accuracy in comparison with the direct dpH/dV calculation suggested in textbooks or linearization methods, like Gran I and II. Of course, plentiful accurate measurements near the inflections are decisive. 
Oversmoothing of (scattered) data is to be avoided. To exclude outliers from a set, simply delete the data pair and shift the remaining data one row up to exclude the empty cells. 
The (more complex) Regression module may provide superior results, due to fitting to a general equation describing the entire curve instead of empirical splines fitted with an arbitrary smoothing factor (that influences the result for poor data or undefined inflections).
</t>
        </r>
      </text>
    </comment>
    <comment ref="A5" authorId="1">
      <text>
        <r>
          <rPr>
            <b/>
            <sz val="8"/>
            <color indexed="81"/>
            <rFont val="Tahoma"/>
            <family val="2"/>
          </rPr>
          <t>Gutz:</t>
        </r>
        <r>
          <rPr>
            <sz val="8"/>
            <color indexed="81"/>
            <rFont val="Tahoma"/>
            <family val="2"/>
          </rPr>
          <t xml:space="preserve">
</t>
        </r>
        <r>
          <rPr>
            <sz val="10"/>
            <color indexed="81"/>
            <rFont val="Tahoma"/>
            <family val="2"/>
          </rPr>
          <t>Delete existing data (or click the Clear button) before you write or paste experimental data, or copy data from Simulation by clicking on the buttons above.
Volume values in mL are expected, but mass of titrant or number o coulombs (coulometric titration) can be used instead.</t>
        </r>
      </text>
    </comment>
    <comment ref="B5" authorId="1">
      <text>
        <r>
          <rPr>
            <b/>
            <sz val="8"/>
            <color indexed="81"/>
            <rFont val="Tahoma"/>
            <family val="2"/>
          </rPr>
          <t>Gutz:</t>
        </r>
        <r>
          <rPr>
            <sz val="8"/>
            <color indexed="81"/>
            <rFont val="Tahoma"/>
            <family val="2"/>
          </rPr>
          <t xml:space="preserve">
</t>
        </r>
        <r>
          <rPr>
            <sz val="10"/>
            <color indexed="81"/>
            <rFont val="Tahoma"/>
            <family val="2"/>
          </rPr>
          <t>Copy or paste pH values, experimental or simulated, with our without dispersion (simulated random errors).
Uncalibrated pH electrodes do not impair the determination of concentrations at sharp inflections, but will offset pKa values estimated graphically.
Electrode potentials can replace pH values when evaluating data from other ion selective electrodes.</t>
        </r>
      </text>
    </comment>
    <comment ref="R5" authorId="1">
      <text>
        <r>
          <rPr>
            <b/>
            <sz val="8"/>
            <color indexed="81"/>
            <rFont val="Tahoma"/>
            <family val="2"/>
          </rPr>
          <t>Gutz:</t>
        </r>
        <r>
          <rPr>
            <sz val="8"/>
            <color indexed="81"/>
            <rFont val="Tahoma"/>
            <family val="2"/>
          </rPr>
          <t xml:space="preserve">
</t>
        </r>
        <r>
          <rPr>
            <sz val="10"/>
            <color indexed="81"/>
            <rFont val="Tahoma"/>
            <family val="2"/>
          </rPr>
          <t xml:space="preserve">Maximum value of the first derivative of the curve at the inflection volume, as calculated from the fitted cubic spline. Precision is higher than for the conventional dpH/dV calculation suggested in textbooks.
The Regression module may provide even better  results in the hand of skilled users, since a general equation describing the theoretical curve is fitted to data, instead of empirical splines.
Of course, good data near the inflections is decisive for all approaches. </t>
        </r>
      </text>
    </comment>
    <comment ref="S5" authorId="1">
      <text>
        <r>
          <rPr>
            <b/>
            <sz val="8"/>
            <color indexed="81"/>
            <rFont val="Tahoma"/>
            <family val="2"/>
          </rPr>
          <t>Gutz:</t>
        </r>
        <r>
          <rPr>
            <sz val="8"/>
            <color indexed="81"/>
            <rFont val="Tahoma"/>
            <family val="2"/>
          </rPr>
          <t xml:space="preserve">
</t>
        </r>
        <r>
          <rPr>
            <sz val="10"/>
            <color indexed="81"/>
            <rFont val="Tahoma"/>
            <family val="2"/>
          </rPr>
          <t>Second derivatives estimated from the splines fitted with smoothing to the original data. Inflections correspond to zero crossing 2nd derivative. Therefore, low values are expected.</t>
        </r>
      </text>
    </comment>
    <comment ref="T5" authorId="1">
      <text>
        <r>
          <rPr>
            <b/>
            <sz val="10"/>
            <color indexed="81"/>
            <rFont val="Tahoma"/>
            <family val="2"/>
          </rPr>
          <t>Gutz:</t>
        </r>
        <r>
          <rPr>
            <sz val="10"/>
            <color indexed="81"/>
            <rFont val="Tahoma"/>
            <family val="2"/>
          </rPr>
          <t xml:space="preserve">
The number of interpolated points can be chosen from 4 to 1000 in cell I4.</t>
        </r>
      </text>
    </comment>
    <comment ref="P6" authorId="1">
      <text>
        <r>
          <rPr>
            <b/>
            <sz val="10"/>
            <color indexed="81"/>
            <rFont val="Tahoma"/>
            <family val="2"/>
          </rPr>
          <t>Gutz:</t>
        </r>
        <r>
          <rPr>
            <sz val="10"/>
            <color indexed="81"/>
            <rFont val="Tahoma"/>
            <family val="2"/>
          </rPr>
          <t xml:space="preserve">
Copy and paste the volumes of the inflections from cells P6, P7, etc. into cells P28, P29, etc., and fill out R24 and 25 to make simple stoichiometric calculations. </t>
        </r>
      </text>
    </comment>
    <comment ref="R22" authorId="1">
      <text>
        <r>
          <rPr>
            <b/>
            <sz val="10"/>
            <color indexed="81"/>
            <rFont val="Tahoma"/>
            <family val="2"/>
          </rPr>
          <t>Gutz:</t>
        </r>
        <r>
          <rPr>
            <sz val="10"/>
            <color indexed="81"/>
            <rFont val="Tahoma"/>
            <family val="2"/>
          </rPr>
          <t xml:space="preserve">
This spreadsheet assists trivial stoichiometric calculations, like the concentration of acids/bases in the titrand or sample. 
Click </t>
        </r>
        <r>
          <rPr>
            <b/>
            <sz val="10"/>
            <color indexed="81"/>
            <rFont val="Tahoma"/>
            <family val="2"/>
          </rPr>
          <t>Copy volumes</t>
        </r>
        <r>
          <rPr>
            <sz val="10"/>
            <color indexed="81"/>
            <rFont val="Tahoma"/>
            <family val="2"/>
          </rPr>
          <t xml:space="preserve"> or copy the volumes of inflections from P6, P7, etc. and paste them in  P27, P28, etc. 
Fill out the blanks in R24 and R25.</t>
        </r>
      </text>
    </comment>
    <comment ref="P27" authorId="1">
      <text>
        <r>
          <rPr>
            <b/>
            <sz val="8"/>
            <color indexed="81"/>
            <rFont val="Tahoma"/>
            <family val="2"/>
          </rPr>
          <t xml:space="preserve"> Gutz:</t>
        </r>
        <r>
          <rPr>
            <sz val="8"/>
            <color indexed="81"/>
            <rFont val="Tahoma"/>
            <family val="2"/>
          </rPr>
          <t xml:space="preserve">
</t>
        </r>
        <r>
          <rPr>
            <sz val="10"/>
            <color indexed="81"/>
            <rFont val="Tahoma"/>
            <family val="2"/>
          </rPr>
          <t>Fill out with the volumes of the inflections (in mL)</t>
        </r>
      </text>
    </comment>
    <comment ref="Q27" authorId="1">
      <text>
        <r>
          <rPr>
            <b/>
            <sz val="8"/>
            <color indexed="81"/>
            <rFont val="Tahoma"/>
            <family val="2"/>
          </rPr>
          <t xml:space="preserve"> Gutz:</t>
        </r>
        <r>
          <rPr>
            <sz val="8"/>
            <color indexed="81"/>
            <rFont val="Tahoma"/>
            <family val="2"/>
          </rPr>
          <t xml:space="preserve">
</t>
        </r>
        <r>
          <rPr>
            <sz val="10"/>
            <color indexed="81"/>
            <rFont val="Tahoma"/>
            <family val="2"/>
          </rPr>
          <t>Cumulative number of mols of titrant added from the beginning of the titration up to a given inflection.</t>
        </r>
      </text>
    </comment>
    <comment ref="R27" authorId="1">
      <text>
        <r>
          <rPr>
            <b/>
            <sz val="8"/>
            <color indexed="81"/>
            <rFont val="Tahoma"/>
            <family val="2"/>
          </rPr>
          <t>Gutz:</t>
        </r>
        <r>
          <rPr>
            <sz val="8"/>
            <color indexed="81"/>
            <rFont val="Tahoma"/>
            <family val="2"/>
          </rPr>
          <t xml:space="preserve">
</t>
        </r>
        <r>
          <rPr>
            <sz val="10"/>
            <color indexed="81"/>
            <rFont val="Tahoma"/>
            <family val="2"/>
          </rPr>
          <t>Number of mols of titrant added from the previous inflection to the current one.</t>
        </r>
      </text>
    </comment>
    <comment ref="S27" authorId="1">
      <text>
        <r>
          <rPr>
            <b/>
            <sz val="8"/>
            <color indexed="81"/>
            <rFont val="Tahoma"/>
            <family val="2"/>
          </rPr>
          <t>Gutz:</t>
        </r>
        <r>
          <rPr>
            <sz val="8"/>
            <color indexed="81"/>
            <rFont val="Tahoma"/>
            <family val="2"/>
          </rPr>
          <t xml:space="preserve">
</t>
        </r>
        <r>
          <rPr>
            <sz val="10"/>
            <color indexed="81"/>
            <rFont val="Tahoma"/>
            <family val="2"/>
          </rPr>
          <t xml:space="preserve">Concentration (in mol/L) of a titrand (titrated specie) in the sample pipetted into the titration cell (subsequent addition of water, to immerge the sensor does not matter), obtained by dividing the number of mols of titrant consumed to reach an inflection by the volume of sample. 
Successive inflections may correspond to the stepwise deprotonation of a multiprotic acid like phosphoric (or stepwise protonation of  bases like ethylenediamine or EDTA), but they may result as well from a mixture of  acids or bases of different strengths.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t>
        </r>
      </text>
    </comment>
    <comment ref="R43" authorId="1">
      <text>
        <r>
          <rPr>
            <b/>
            <sz val="10"/>
            <color indexed="81"/>
            <rFont val="Tahoma"/>
            <family val="2"/>
          </rPr>
          <t>Gutz:</t>
        </r>
        <r>
          <rPr>
            <sz val="10"/>
            <color indexed="81"/>
            <rFont val="Tahoma"/>
            <family val="2"/>
          </rPr>
          <t xml:space="preserve">
Click twice on the dpH/dV or pH scale to redefine it.
Use Ctrl+Z (as many times as needed) to undo scale expansion</t>
        </r>
      </text>
    </comment>
    <comment ref="R44"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 Excel) without links to the original:
- Fill out the header of the graphic (optional)
- Click in the box of the graphic near the margins, to select it
- (only Excel versions older than 12, from 2007: Click on Process once more) 
- Press Ctrl+C and wait processing 
- Switch to the Word document 
- Select Insert/Paste Special/Picture (enhanced metafile)</t>
        </r>
        <r>
          <rPr>
            <sz val="8"/>
            <color indexed="81"/>
            <rFont val="Tahoma"/>
            <family val="2"/>
          </rPr>
          <t xml:space="preserve">
</t>
        </r>
      </text>
    </comment>
    <comment ref="R45"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t>
        </r>
      </text>
    </comment>
  </commentList>
</comments>
</file>

<file path=xl/comments7.xml><?xml version="1.0" encoding="utf-8"?>
<comments xmlns="http://schemas.openxmlformats.org/spreadsheetml/2006/main">
  <authors>
    <author>Gutz</author>
    <author>Ivano Gebhardt Rolf Gutz</author>
    <author>gtz</author>
    <author>GPQAI-51</author>
    <author>Ivano G. R. Gutz</author>
  </authors>
  <commentList>
    <comment ref="F1" authorId="0">
      <text>
        <r>
          <rPr>
            <b/>
            <sz val="8"/>
            <color indexed="81"/>
            <rFont val="Tahoma"/>
            <family val="2"/>
          </rPr>
          <t>Gutz:</t>
        </r>
        <r>
          <rPr>
            <sz val="8"/>
            <color indexed="81"/>
            <rFont val="Tahoma"/>
            <family val="2"/>
          </rPr>
          <t xml:space="preserve">
</t>
        </r>
        <r>
          <rPr>
            <sz val="10"/>
            <color indexed="81"/>
            <rFont val="Tahoma"/>
            <family val="2"/>
          </rPr>
          <t>Always use the most recent version of CurTiPot available at the author’s site http://www.iq.usp.br/gutz/Curtipot_.html, choosing between CurTiPot and CurTiPot option i – the same full program plus balloons with first steps for beginners.</t>
        </r>
        <r>
          <rPr>
            <sz val="8"/>
            <color indexed="81"/>
            <rFont val="Tahoma"/>
            <family val="2"/>
          </rPr>
          <t xml:space="preserve">
</t>
        </r>
        <r>
          <rPr>
            <sz val="10"/>
            <color indexed="81"/>
            <rFont val="Tahoma"/>
            <family val="2"/>
          </rPr>
          <t xml:space="preserve">This module employs multiparametric nonlinear regression (MPNLR or NLR or simply Reg) for the determination of the concentrations of acidic and basic components (and, optionally, their pKa's) in samples from pH data of volumetric acid-base titrations. Excel's free </t>
        </r>
        <r>
          <rPr>
            <b/>
            <sz val="10"/>
            <color indexed="81"/>
            <rFont val="Tahoma"/>
            <family val="2"/>
          </rPr>
          <t>Solver</t>
        </r>
        <r>
          <rPr>
            <sz val="10"/>
            <color indexed="81"/>
            <rFont val="Tahoma"/>
            <family val="2"/>
          </rPr>
          <t xml:space="preserve"> add-in is used for NLR and it </t>
        </r>
        <r>
          <rPr>
            <b/>
            <sz val="10"/>
            <color indexed="81"/>
            <rFont val="Tahoma"/>
            <family val="2"/>
          </rPr>
          <t>must be activated</t>
        </r>
        <r>
          <rPr>
            <sz val="10"/>
            <color indexed="81"/>
            <rFont val="Tahoma"/>
            <family val="2"/>
          </rPr>
          <t xml:space="preserve"> first (only once for each computer), following instructions starting at cell AP1. 
More about  Solver in https://www.solver.com/excel-solver-online-help
Learning to use CurTiPot's </t>
        </r>
        <r>
          <rPr>
            <u/>
            <sz val="10"/>
            <color indexed="81"/>
            <rFont val="Tahoma"/>
            <family val="2"/>
          </rPr>
          <t>Regression</t>
        </r>
        <r>
          <rPr>
            <sz val="10"/>
            <color indexed="81"/>
            <rFont val="Tahoma"/>
            <family val="2"/>
          </rPr>
          <t xml:space="preserve"> module (by reading the "red dot" cells with help and comments) is worthwhile especially if applications out of the reach of </t>
        </r>
        <r>
          <rPr>
            <u/>
            <sz val="10"/>
            <color indexed="81"/>
            <rFont val="Tahoma"/>
            <family val="2"/>
          </rPr>
          <t>Evaluation</t>
        </r>
        <r>
          <rPr>
            <sz val="10"/>
            <color indexed="81"/>
            <rFont val="Tahoma"/>
            <family val="2"/>
          </rPr>
          <t xml:space="preserve"> are aimed, like:
- samples with multiple components to quantify;
- unsharp inflections, due to close pKa values;
- very diluted samples; 
- determination or refinement of pKa values (within the pH range of the titration curve);
- detection (and, possibly, quantification) of minor components that may have been overlooked in the graphical evaluation. e.g. CO</t>
        </r>
        <r>
          <rPr>
            <vertAlign val="subscript"/>
            <sz val="11"/>
            <color indexed="81"/>
            <rFont val="Tahoma"/>
            <family val="2"/>
          </rPr>
          <t>2</t>
        </r>
        <r>
          <rPr>
            <sz val="10"/>
            <color indexed="81"/>
            <rFont val="Tahoma"/>
            <family val="2"/>
          </rPr>
          <t xml:space="preserve"> (absorbed by the titrand or titrant;
- detection of curve distortions caused by malfunctioning or calibration problems of the pH sensor;
- more accurate and faster results (once a procedure is optimized for a given routine application). 
Extra instructions for the quantification of titrands with pKa values that fall outside the pH range of the titration curve, like strong acids and strong bases, appear in cells  I14, H18 and H19.      
The Regression module takes the ionic strength I of the medium and its effects on acid-base equilibrium  into account (like the pH_calc and Simulation modules). For real samples with unknown I, the constants loaded from the Database (mostly thermodynamic ones, strictly valid only at I=0) may not generate the best possible fit to experimental curves. Improvements are expected by fitting also ionic strength (cell S12) or refining the pKas after a first fit of the concentrations (viable only when their values fall within the pH region explored during the titration). 
In this module pH is taken as minus the logarithm of the hydrated hydrogen ion activity (see definition, http://www.iupac.org/goldbook/P04524.pdf) as measured with a calibrated pH meter connected to a combined glass electrode. Information about the differences and interconversion of pH, p[H] and "pH" is available in the pH_calc module.
Especially for the determination/refinement of pKa values, experimental pH values are assumed to be obtained in thermostated conditions and free of calibration, junction potential and alkaline errors of the sensor (to be corrected previously for best results). Inaccurate calibration of the sensor (unreliable buffer solutions, temperature different from specified, etc.) and deviation from Nersntian response of the glass electrode cause systematic errors that may be detected and corrected to some extent by inclusion of P12 and P13 as variable cells in the Solver, at a refinement stage of the fitting of otherwise high quality titration data of titrant and titrand of known concentrations. 
Warning: no chemometric tool can extract accurate results from poor data (insufficient measurements, data with high scatter, systematic errors, etc.). Before you analyze difficult titration data with Regression, collect the best data you can in the laboratory, after careful planning (assisted by Simulation) and well executed experiments with calibrated instrumentation and high purity, well standardized reagents.
Essentially the program fits the user-selected parameters by minimizing the squares of the difference of calculated and fitted total dissociable H</t>
        </r>
        <r>
          <rPr>
            <vertAlign val="superscript"/>
            <sz val="10"/>
            <color indexed="81"/>
            <rFont val="Tahoma"/>
            <family val="2"/>
          </rPr>
          <t>+</t>
        </r>
        <r>
          <rPr>
            <sz val="10"/>
            <color indexed="81"/>
            <rFont val="Tahoma"/>
            <family val="2"/>
          </rPr>
          <t xml:space="preserve"> concentrations, but various weighting options are available in cells I20, K20 and M20.</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Options for selecting/editing names, charges and pKas:
a) Write directly in the cells K3 to Q10 and R3 to T6 (ignoring line 2 settings); 
b) Click on names in line 2, slide along the list, click on another name (or a blank line); finally, click on J2 to load the constants from the </t>
        </r>
        <r>
          <rPr>
            <b/>
            <sz val="10"/>
            <color indexed="81"/>
            <rFont val="Tahoma"/>
            <family val="2"/>
          </rPr>
          <t>Database</t>
        </r>
        <r>
          <rPr>
            <sz val="10"/>
            <color indexed="81"/>
            <rFont val="Tahoma"/>
            <family val="2"/>
          </rPr>
          <t>;
c) When applicable (see comments F1 and I18) , refine the pKas loaded by options a or b, by including them in the regression.
Frequently used acids missing in the Database should be added to it.</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 (load pKas from the database as a titrand and copy them to the titrant cells)</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B3" authorId="0">
      <text>
        <r>
          <rPr>
            <b/>
            <sz val="8"/>
            <color indexed="81"/>
            <rFont val="Tahoma"/>
            <family val="2"/>
          </rPr>
          <t>Gutz:</t>
        </r>
        <r>
          <rPr>
            <sz val="8"/>
            <color indexed="81"/>
            <rFont val="Tahoma"/>
            <family val="2"/>
          </rPr>
          <t xml:space="preserve">
</t>
        </r>
        <r>
          <rPr>
            <sz val="10"/>
            <color indexed="81"/>
            <rFont val="Tahoma"/>
            <family val="2"/>
          </rPr>
          <t>Do not write here. See comment in cell M1 on how to change acids and bases.</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You can specify any system with no more than 2 pKas as titrant (can be expanded by the author).</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The activity coefficient of OH- (and other ions) decreases as I grows up to 0,5 mol/L and more specific interactions with other cations become relevant at high I , so that lower pKa values are sometimes mentioned in the literature (see references in the Database for details).
Any other mono or biprotonable acid or base can be used instead of OH-to compose the titrant.</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Gutz:</t>
        </r>
        <r>
          <rPr>
            <sz val="8"/>
            <color indexed="81"/>
            <rFont val="Tahoma"/>
            <family val="2"/>
          </rPr>
          <t xml:space="preserve">
</t>
        </r>
        <r>
          <rPr>
            <sz val="10"/>
            <color indexed="81"/>
            <rFont val="Tahoma"/>
            <family val="2"/>
          </rPr>
          <t>All concentrations in cells B4 to H13 (among others) refer to the sample, while the initial pH refers to the sample + added water (if any, see F16), here called titrand, and, during the titration, to titrand + titrant.
Typically, 5 to 25 mL of sample (cell E16) are carefully measured and placed in a beaker, a combined glass electrode (connected to a pH meter) and a magnetic stirrer bar are introduced and water (indicated in F16) is added till the sensing area of the electrode is covered, so that the pH is measure in volume G16.
A titration is carried out by adding small aliquots of titrant (usually with a buret or motor driven syringe containing a strong acid or strong base) and registering the pH after stabilization of the reading.</t>
        </r>
      </text>
    </comment>
    <comment ref="B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1">
      <text>
        <r>
          <rPr>
            <b/>
            <sz val="8"/>
            <color indexed="81"/>
            <rFont val="Tahoma"/>
            <family val="2"/>
          </rPr>
          <t>Gutz:</t>
        </r>
        <r>
          <rPr>
            <sz val="10"/>
            <color indexed="81"/>
            <rFont val="Tahoma"/>
            <family val="2"/>
          </rPr>
          <t xml:space="preserve">
Equilibrium concentration in the sample (=titrand if F16=0) of the deprotonated (conjugated) base at the initial pH (J15); 
The fitted  global concentration of all forms of the acid-base system,    [B]+[HB]+[H2B]+... appears in line 11</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of 1.10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1">
      <text>
        <r>
          <rPr>
            <b/>
            <sz val="8"/>
            <color indexed="81"/>
            <rFont val="Tahoma"/>
            <family val="2"/>
          </rPr>
          <t>Gutz:</t>
        </r>
        <r>
          <rPr>
            <sz val="8"/>
            <color indexed="81"/>
            <rFont val="Tahoma"/>
            <family val="2"/>
          </rPr>
          <t xml:space="preserve">
</t>
        </r>
        <r>
          <rPr>
            <sz val="10"/>
            <color indexed="81"/>
            <rFont val="Tahoma"/>
            <family val="2"/>
          </rPr>
          <t>Equilibrium concentration in the sample (=titrand if F16=0) of the monoprotonated (conjugated) base at the initial pH (J15); 
The global concentration   [B]+[HB]+[H2B]+... appears in line 11</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R8"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in module pH_calc.</t>
        </r>
      </text>
    </comment>
    <comment ref="A11" authorId="1">
      <text>
        <r>
          <rPr>
            <b/>
            <sz val="8"/>
            <color indexed="81"/>
            <rFont val="Tahoma"/>
            <family val="2"/>
          </rPr>
          <t>Gutz:</t>
        </r>
        <r>
          <rPr>
            <sz val="8"/>
            <color indexed="81"/>
            <rFont val="Tahoma"/>
            <family val="2"/>
          </rPr>
          <t xml:space="preserve">
</t>
        </r>
        <r>
          <rPr>
            <sz val="10"/>
            <color indexed="81"/>
            <rFont val="Tahoma"/>
            <family val="2"/>
          </rPr>
          <t>Total concentration (in the sample, =titrand if F16=0) of each acid or base identified in line 3, obtained by summing up the contributions of all of its forms in equilibrium: [B]+[HB]+[H</t>
        </r>
        <r>
          <rPr>
            <vertAlign val="subscript"/>
            <sz val="10"/>
            <color indexed="81"/>
            <rFont val="Tahoma"/>
            <family val="2"/>
          </rPr>
          <t>2</t>
        </r>
        <r>
          <rPr>
            <sz val="10"/>
            <color indexed="81"/>
            <rFont val="Tahoma"/>
            <family val="2"/>
          </rPr>
          <t>B]+...
It can usually be fitted by regression (as a variable parameter of the Solver) but an inaccurate and even unrealistic concentration may be obtained for bases without a pKa value in the pH region covered by the titration. Strong acids represent the worst example, but their concentration can be obtained from the excess of H</t>
        </r>
        <r>
          <rPr>
            <vertAlign val="superscript"/>
            <sz val="10"/>
            <color indexed="81"/>
            <rFont val="Tahoma"/>
            <family val="2"/>
          </rPr>
          <t xml:space="preserve">+ </t>
        </r>
        <r>
          <rPr>
            <sz val="10"/>
            <color indexed="81"/>
            <rFont val="Tahoma"/>
            <family val="2"/>
          </rPr>
          <t xml:space="preserve">(cell I14).
If the Solver does not converge to a realistic solution for sample with multiple components, only the most relevant variables should be fitted at first and the minor components are added one at a time as a variable of the regression. Good initial guesses accelerate convergence but, in general, zero is an acceptable starting value for the concentrations to fit.
</t>
        </r>
      </text>
    </comment>
    <comment ref="B11" authorId="1">
      <text>
        <r>
          <rPr>
            <b/>
            <sz val="8"/>
            <color indexed="81"/>
            <rFont val="Tahoma"/>
            <family val="2"/>
          </rPr>
          <t>Gutz:</t>
        </r>
        <r>
          <rPr>
            <sz val="8"/>
            <color indexed="81"/>
            <rFont val="Tahoma"/>
            <family val="2"/>
          </rPr>
          <t xml:space="preserve">
</t>
        </r>
        <r>
          <rPr>
            <sz val="10"/>
            <color indexed="81"/>
            <rFont val="Tahoma"/>
            <family val="2"/>
          </rPr>
          <t>You may write 0 (zero) as starting value in all cells of line 11 (B11 to H11). During regression, the values of the variable cells specified by you in the Solver setup will be adjusted accordingly. For complicated systems an initial guess, based on graphical evaluation, will help and speed up Solver's convergence.</t>
        </r>
      </text>
    </comment>
    <comment ref="H11" authorId="1">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fit the concentration of any strong acid with pKa value(s) lower than the pH range covered by the titration (like HCl, exemplified in column H). 
The total concentration of strong acid(s) can be derived from the excess of H</t>
        </r>
        <r>
          <rPr>
            <vertAlign val="superscript"/>
            <sz val="10"/>
            <color indexed="81"/>
            <rFont val="Tahoma"/>
            <family val="2"/>
          </rPr>
          <t>+</t>
        </r>
        <r>
          <rPr>
            <sz val="10"/>
            <color indexed="81"/>
            <rFont val="Tahoma"/>
            <family val="2"/>
          </rPr>
          <t xml:space="preserve"> revealed in cell I14 after successful regression. For a sample containing nothing else than strong acid(s), the fitted value of I18 will as well reveal the (total) concentration (=I14). 
Taking a diluted HCl sample as an example and starting with concentrations H11=0 and I18 (the only variable cell in Solver for this example) =0, after running the Solver, the value of I14 (=I18) is copied to H11; a new run of the Solver should return the same I18 and a I14 value close to zero (if not, H11 should be updated accordingly).</t>
        </r>
      </text>
    </comment>
    <comment ref="I11" authorId="2">
      <text>
        <r>
          <rPr>
            <b/>
            <sz val="9"/>
            <color indexed="81"/>
            <rFont val="Tahoma"/>
            <family val="2"/>
          </rPr>
          <t>Gutz:</t>
        </r>
        <r>
          <rPr>
            <sz val="9"/>
            <color indexed="81"/>
            <rFont val="Tahoma"/>
            <family val="2"/>
          </rPr>
          <t xml:space="preserve">
</t>
        </r>
        <r>
          <rPr>
            <sz val="10"/>
            <color indexed="81"/>
            <rFont val="Tahoma"/>
            <family val="2"/>
          </rPr>
          <t>Summation of the total concentration in the sample (=titrand if F16=0) of all acids and bases identified in line 3, considering that the values fitted by regression (or manually inserted) in line 11 are correct (more information in cell A11).</t>
        </r>
      </text>
    </comment>
    <comment ref="P11" authorId="0">
      <text>
        <r>
          <rPr>
            <b/>
            <sz val="8"/>
            <color indexed="81"/>
            <rFont val="Tahoma"/>
            <family val="2"/>
          </rPr>
          <t>Gutz:</t>
        </r>
        <r>
          <rPr>
            <sz val="8"/>
            <color indexed="81"/>
            <rFont val="Tahoma"/>
            <family val="2"/>
          </rPr>
          <t xml:space="preserve">
</t>
        </r>
        <r>
          <rPr>
            <sz val="10"/>
            <color indexed="81"/>
            <rFont val="Tahoma"/>
            <family val="2"/>
          </rPr>
          <t>Systematic departure of fitted curves from the experimental ones may have various (combined) causes, and N12 and N13 fitting should be attempted only when inaccurate calibration of the sensor is the most like one (unreliable buffer solutions, temperature different from specified, defective/drifting sensor), especially when the titrant and titrand composition is known and I was already estimated.
Examples of other causes of misfitting:
i) Incorrect use of the Regression module by beginners;
ii) Deviation of the sensor response from the theoretical (Nersntian) one due to uncorrected acid or alkaline error or uncorrected junction (diffusion) potential; these errors become more significant ant extreme pHs;  
iii) Standardization errors of the titrant or decomposition/contamination (CO</t>
        </r>
        <r>
          <rPr>
            <vertAlign val="subscript"/>
            <sz val="12"/>
            <color indexed="81"/>
            <rFont val="Tahoma"/>
            <family val="2"/>
          </rPr>
          <t>2</t>
        </r>
        <r>
          <rPr>
            <sz val="10"/>
            <color indexed="81"/>
            <rFont val="Tahoma"/>
            <family val="2"/>
          </rPr>
          <t xml:space="preserve"> absorption, etc.); Some improvement may be reached by the fitting CO</t>
        </r>
        <r>
          <rPr>
            <vertAlign val="subscript"/>
            <sz val="10"/>
            <color indexed="81"/>
            <rFont val="Tahoma"/>
            <family val="2"/>
          </rPr>
          <t>2</t>
        </r>
        <r>
          <rPr>
            <sz val="10"/>
            <color indexed="81"/>
            <rFont val="Tahoma"/>
            <family val="2"/>
          </rPr>
          <t xml:space="preserve"> contamination in the titrant;
iv) Missing or undercorrection of the effect of ionic strength and temperature on activity coefficients and pKas;
</t>
        </r>
        <r>
          <rPr>
            <b/>
            <sz val="10"/>
            <color indexed="81"/>
            <rFont val="Tahoma"/>
            <family val="2"/>
          </rPr>
          <t>Regression</t>
        </r>
        <r>
          <rPr>
            <sz val="10"/>
            <color indexed="81"/>
            <rFont val="Tahoma"/>
            <family val="2"/>
          </rPr>
          <t xml:space="preserve"> assumes that the pKa values (from the database or other source) are for I=0 and same temperature as the titration.  This may not be the case (the database contains some pKas for I&gt;0 or t not 25</t>
        </r>
        <r>
          <rPr>
            <vertAlign val="superscript"/>
            <sz val="10"/>
            <color indexed="81"/>
            <rFont val="Tahoma"/>
            <family val="2"/>
          </rPr>
          <t>o</t>
        </r>
        <r>
          <rPr>
            <sz val="10"/>
            <color indexed="81"/>
            <rFont val="Tahoma"/>
            <family val="2"/>
          </rPr>
          <t>C; pKa values can be refined by MPNLR if all other parameters are accurately known.</t>
        </r>
      </text>
    </comment>
    <comment ref="S11" authorId="0">
      <text>
        <r>
          <rPr>
            <b/>
            <sz val="8"/>
            <color indexed="81"/>
            <rFont val="Tahoma"/>
            <family val="2"/>
          </rPr>
          <t>Gutz:</t>
        </r>
        <r>
          <rPr>
            <sz val="10"/>
            <color indexed="81"/>
            <rFont val="Tahoma"/>
            <family val="2"/>
          </rPr>
          <t xml:space="preserve">
Data at cells S12 to S20 (below), as well as V19 to AB19 and B4 to I13 refer to the </t>
        </r>
        <r>
          <rPr>
            <u/>
            <sz val="10"/>
            <color indexed="81"/>
            <rFont val="Tahoma"/>
            <family val="2"/>
          </rPr>
          <t xml:space="preserve">undiluted </t>
        </r>
        <r>
          <rPr>
            <b/>
            <u/>
            <sz val="10"/>
            <color indexed="81"/>
            <rFont val="Tahoma"/>
            <family val="2"/>
          </rPr>
          <t>sample</t>
        </r>
        <r>
          <rPr>
            <sz val="10"/>
            <color indexed="81"/>
            <rFont val="Tahoma"/>
            <family val="2"/>
          </rPr>
          <t xml:space="preserve">. If no diluting solution was added (F16=0), than the sample is the </t>
        </r>
        <r>
          <rPr>
            <b/>
            <sz val="10"/>
            <color indexed="81"/>
            <rFont val="Tahoma"/>
            <family val="2"/>
          </rPr>
          <t>titrand</t>
        </r>
        <r>
          <rPr>
            <sz val="10"/>
            <color indexed="81"/>
            <rFont val="Tahoma"/>
            <family val="2"/>
          </rPr>
          <t xml:space="preserve"> itself. Otherwise (F16&gt;0), a G16/E16 dilution factor will apply to the </t>
        </r>
        <r>
          <rPr>
            <b/>
            <sz val="10"/>
            <color indexed="81"/>
            <rFont val="Tahoma"/>
            <family val="2"/>
          </rPr>
          <t xml:space="preserve">titrand </t>
        </r>
        <r>
          <rPr>
            <sz val="10"/>
            <color indexed="81"/>
            <rFont val="Tahoma"/>
            <family val="2"/>
          </rPr>
          <t xml:space="preserve">to calculate the parametres S22 to S26. 
</t>
        </r>
      </text>
    </comment>
    <comment ref="T11" authorId="0">
      <text>
        <r>
          <rPr>
            <b/>
            <sz val="8"/>
            <color indexed="81"/>
            <rFont val="Tahoma"/>
            <family val="2"/>
          </rPr>
          <t>Gutz:</t>
        </r>
        <r>
          <rPr>
            <sz val="8"/>
            <color indexed="81"/>
            <rFont val="Tahoma"/>
            <family val="2"/>
          </rPr>
          <t xml:space="preserve">
</t>
        </r>
        <r>
          <rPr>
            <sz val="10"/>
            <color indexed="81"/>
            <rFont val="Tahoma"/>
            <family val="2"/>
          </rPr>
          <t>Fill out T12 and T13 if extra electrolytes were added to the titrant. Read comments in Q12, R12 and R13.
Calculations in this column are carried out by clicking on G18 "Find titrant pH" and depend of the known or fitted concentrations of acids, bases and electrolytes in the titrant.</t>
        </r>
      </text>
    </comment>
    <comment ref="A12" authorId="1">
      <text>
        <r>
          <rPr>
            <b/>
            <sz val="10"/>
            <color indexed="81"/>
            <rFont val="Tahoma"/>
            <family val="2"/>
          </rPr>
          <t>Gutz:</t>
        </r>
        <r>
          <rPr>
            <sz val="10"/>
            <color indexed="81"/>
            <rFont val="Tahoma"/>
            <family val="2"/>
          </rPr>
          <t xml:space="preserve">
Concentration of H</t>
        </r>
        <r>
          <rPr>
            <vertAlign val="superscript"/>
            <sz val="10"/>
            <color indexed="81"/>
            <rFont val="Tahoma"/>
            <family val="2"/>
          </rPr>
          <t>+</t>
        </r>
        <r>
          <rPr>
            <sz val="10"/>
            <color indexed="81"/>
            <rFont val="Tahoma"/>
            <family val="2"/>
          </rPr>
          <t xml:space="preserve"> bound to each (conjugated) base in the sample at the initial pH equilibrium, considering that the values fitted by regression or manually inserted in line 11 are correct.</t>
        </r>
      </text>
    </comment>
    <comment ref="I12" authorId="0">
      <text>
        <r>
          <rPr>
            <b/>
            <sz val="8"/>
            <color indexed="81"/>
            <rFont val="Tahoma"/>
            <family val="2"/>
          </rPr>
          <t>Gutz:</t>
        </r>
        <r>
          <rPr>
            <sz val="8"/>
            <color indexed="81"/>
            <rFont val="Tahoma"/>
            <family val="2"/>
          </rPr>
          <t xml:space="preserve">
</t>
        </r>
        <r>
          <rPr>
            <sz val="10"/>
            <color indexed="81"/>
            <rFont val="Tahoma"/>
            <family val="2"/>
          </rPr>
          <t>Summation of the concentration (calculated for the sample) of H</t>
        </r>
        <r>
          <rPr>
            <vertAlign val="superscript"/>
            <sz val="12"/>
            <color indexed="81"/>
            <rFont val="Tahoma"/>
            <family val="2"/>
          </rPr>
          <t>+</t>
        </r>
        <r>
          <rPr>
            <sz val="10"/>
            <color indexed="81"/>
            <rFont val="Tahoma"/>
            <family val="2"/>
          </rPr>
          <t>bound to all (conjugated) bases at the initial pH of the titrand, considering that the values fitted by regression (or manually inserted) in line 11 are correct.</t>
        </r>
      </text>
    </comment>
    <comment ref="P12" authorId="0">
      <text>
        <r>
          <rPr>
            <b/>
            <sz val="8"/>
            <color indexed="81"/>
            <rFont val="Tahoma"/>
            <family val="2"/>
          </rPr>
          <t>Gutz:</t>
        </r>
        <r>
          <rPr>
            <sz val="8"/>
            <color indexed="81"/>
            <rFont val="Tahoma"/>
            <family val="2"/>
          </rPr>
          <t xml:space="preserve">
</t>
        </r>
        <r>
          <rPr>
            <sz val="10"/>
            <color indexed="81"/>
            <rFont val="Tahoma"/>
            <family val="2"/>
          </rPr>
          <t>Default value is 7.000, meaning that the calibration is accurate for pH=7.000. More about in cell P11's comment.</t>
        </r>
      </text>
    </comment>
    <comment ref="R12" authorId="0">
      <text>
        <r>
          <rPr>
            <b/>
            <sz val="8"/>
            <color indexed="81"/>
            <rFont val="Tahoma"/>
            <family val="2"/>
          </rPr>
          <t>Gutz:</t>
        </r>
        <r>
          <rPr>
            <sz val="8"/>
            <color indexed="81"/>
            <rFont val="Tahoma"/>
            <family val="2"/>
          </rPr>
          <t xml:space="preserve">
</t>
        </r>
        <r>
          <rPr>
            <sz val="10"/>
            <color indexed="81"/>
            <rFont val="Tahoma"/>
            <family val="2"/>
          </rPr>
          <t>Summation of monovalent ion concentrations. Example: for 0.1 mol/L NaCl, write 0.2, due to 0.1 Na</t>
        </r>
        <r>
          <rPr>
            <vertAlign val="superscript"/>
            <sz val="12"/>
            <color indexed="81"/>
            <rFont val="Tahoma"/>
            <family val="2"/>
          </rPr>
          <t>+</t>
        </r>
        <r>
          <rPr>
            <sz val="10"/>
            <color indexed="81"/>
            <rFont val="Tahoma"/>
            <family val="2"/>
          </rPr>
          <t xml:space="preserve"> + 0.1 Cl</t>
        </r>
        <r>
          <rPr>
            <vertAlign val="superscript"/>
            <sz val="12"/>
            <color indexed="81"/>
            <rFont val="Tahoma"/>
            <family val="2"/>
          </rPr>
          <t>-</t>
        </r>
        <r>
          <rPr>
            <sz val="10"/>
            <color indexed="81"/>
            <rFont val="Tahoma"/>
            <family val="2"/>
          </rPr>
          <t xml:space="preserve">.  
When unknown, this parameter may be fitted by regression with Solver to estimate the amount of background electrolyte in the titrant or titrand, but uncertainty is high and results can be wrong, because activity coefficients present a minimum in function of concentration (around 0.4 mol/L) so that there are two concentrations with the same </t>
        </r>
        <r>
          <rPr>
            <sz val="10"/>
            <color indexed="81"/>
            <rFont val="Symbol"/>
            <family val="1"/>
            <charset val="2"/>
          </rPr>
          <t>g</t>
        </r>
        <r>
          <rPr>
            <sz val="10"/>
            <color indexed="81"/>
            <rFont val="Tahoma"/>
            <family val="2"/>
          </rPr>
          <t xml:space="preserve">. </t>
        </r>
      </text>
    </comment>
    <comment ref="S12" authorId="2">
      <text>
        <r>
          <rPr>
            <b/>
            <sz val="9"/>
            <color indexed="81"/>
            <rFont val="Tahoma"/>
            <family val="2"/>
          </rPr>
          <t>Gutz:</t>
        </r>
        <r>
          <rPr>
            <sz val="9"/>
            <color indexed="81"/>
            <rFont val="Tahoma"/>
            <family val="2"/>
          </rPr>
          <t xml:space="preserve">
</t>
        </r>
        <r>
          <rPr>
            <sz val="10"/>
            <color indexed="81"/>
            <rFont val="Tahoma"/>
            <family val="2"/>
          </rPr>
          <t xml:space="preserve">The sum of known, guessed or Solver fitted* concentrations of cations + anions in the </t>
        </r>
        <r>
          <rPr>
            <b/>
            <sz val="10"/>
            <color indexed="81"/>
            <rFont val="Tahoma"/>
            <family val="2"/>
          </rPr>
          <t>sample</t>
        </r>
        <r>
          <rPr>
            <sz val="10"/>
            <color indexed="81"/>
            <rFont val="Tahoma"/>
            <family val="2"/>
          </rPr>
          <t>,</t>
        </r>
        <r>
          <rPr>
            <b/>
            <sz val="10"/>
            <color indexed="81"/>
            <rFont val="Tahoma"/>
            <family val="2"/>
          </rPr>
          <t xml:space="preserve"> </t>
        </r>
        <r>
          <rPr>
            <sz val="10"/>
            <color indexed="81"/>
            <rFont val="Tahoma"/>
            <family val="2"/>
          </rPr>
          <t xml:space="preserve">other than those from acids and bases and their counterions (displayed in columns below), if any, should be entered here for accurate calculation of I.  
Although S12 (and S13) is assumed as being the concentration of cations plus concentration of anions in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(if any), sometimes dilution is made with a strong electrolyte (instead of water) aiming a high and nearly constant I. In this case, enter the equivalent concentration as if the electrolyte was dissolved in the sample. Example: S12 = 0.6 for the dilution of 20 mL of sample with 10 mL of 0.6 mol/L KNO</t>
        </r>
        <r>
          <rPr>
            <vertAlign val="subscript"/>
            <sz val="10"/>
            <color indexed="81"/>
            <rFont val="Tahoma"/>
            <family val="2"/>
          </rPr>
          <t>3</t>
        </r>
        <r>
          <rPr>
            <sz val="10"/>
            <color indexed="81"/>
            <rFont val="Tahoma"/>
            <family val="2"/>
          </rPr>
          <t xml:space="preserve"> (=0.2 mol/L in the titrand) once (0.6+0.6)*10/20 = 0.6 (= (0.2+0.2)*30/20). For 0.1 mol/L Ca(NO</t>
        </r>
        <r>
          <rPr>
            <vertAlign val="subscript"/>
            <sz val="10"/>
            <color indexed="81"/>
            <rFont val="Tahoma"/>
            <family val="2"/>
          </rPr>
          <t>3</t>
        </r>
        <r>
          <rPr>
            <sz val="10"/>
            <color indexed="81"/>
            <rFont val="Tahoma"/>
            <family val="2"/>
          </rPr>
          <t>)</t>
        </r>
        <r>
          <rPr>
            <vertAlign val="subscript"/>
            <sz val="10"/>
            <color indexed="81"/>
            <rFont val="Tahoma"/>
            <family val="2"/>
          </rPr>
          <t>2</t>
        </r>
        <r>
          <rPr>
            <sz val="10"/>
            <color indexed="81"/>
            <rFont val="Tahoma"/>
            <family val="2"/>
          </rPr>
          <t xml:space="preserve">, enter 0.1*10/20 in S13 (for the calcium) and 0.2*10/20 in S12 (for the nitrate).
* S12 may be included as one of the variable cells to be fitted by the Solver, besides the concentrations of acids and bases, but read comment in R12.  </t>
        </r>
      </text>
    </comment>
    <comment ref="U12" authorId="0">
      <text>
        <r>
          <rPr>
            <b/>
            <sz val="8"/>
            <color indexed="81"/>
            <rFont val="Tahoma"/>
            <family val="2"/>
          </rPr>
          <t>Gutz:</t>
        </r>
        <r>
          <rPr>
            <sz val="8"/>
            <color indexed="81"/>
            <rFont val="Tahoma"/>
            <family val="2"/>
          </rPr>
          <t xml:space="preserve">
</t>
        </r>
        <r>
          <rPr>
            <sz val="10"/>
            <color indexed="81"/>
            <rFont val="Tahoma"/>
            <family val="2"/>
          </rPr>
          <t>Blank cells were filled with an insignificant dummy constant 10</t>
        </r>
        <r>
          <rPr>
            <vertAlign val="superscript"/>
            <sz val="12"/>
            <color indexed="81"/>
            <rFont val="Tahoma"/>
            <family val="2"/>
          </rPr>
          <t>-10</t>
        </r>
        <r>
          <rPr>
            <sz val="10"/>
            <color indexed="81"/>
            <rFont val="Tahoma"/>
            <family val="2"/>
          </rPr>
          <t xml:space="preserve"> for calculation convenience.
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13" authorId="1">
      <text>
        <r>
          <rPr>
            <b/>
            <sz val="8"/>
            <color indexed="81"/>
            <rFont val="Tahoma"/>
            <family val="2"/>
          </rPr>
          <t>Gutz:</t>
        </r>
        <r>
          <rPr>
            <sz val="8"/>
            <color indexed="81"/>
            <rFont val="Tahoma"/>
            <family val="2"/>
          </rPr>
          <t xml:space="preserve">
</t>
        </r>
        <r>
          <rPr>
            <sz val="10"/>
            <color indexed="81"/>
            <rFont val="Tahoma"/>
            <family val="2"/>
          </rPr>
          <t>Concentration of H</t>
        </r>
        <r>
          <rPr>
            <vertAlign val="superscript"/>
            <sz val="10"/>
            <color indexed="81"/>
            <rFont val="Tahoma"/>
            <family val="2"/>
          </rPr>
          <t>+</t>
        </r>
        <r>
          <rPr>
            <sz val="10"/>
            <color indexed="81"/>
            <rFont val="Tahoma"/>
            <family val="2"/>
          </rPr>
          <t xml:space="preserve"> that, at equilibrium established at the pH of the titrand, would be liberated to the medium (or withdrawn, if negative) by each acid or base (fitted by regression) supposing it was originally introduced just protonated to neutrality (0 to n protons).
Examples:
Positive value of the parameter in line 13 will indicate the liberation of protons by acids like acetic (instead of sodium acetate),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(instead of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etc.) or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to an extension that depends of the acid pKa and the pH of the titrand. 
Bases like ammonia (NH</t>
        </r>
        <r>
          <rPr>
            <vertAlign val="subscript"/>
            <sz val="10"/>
            <color indexed="81"/>
            <rFont val="Tahoma"/>
            <family val="2"/>
          </rPr>
          <t>3</t>
        </r>
        <r>
          <rPr>
            <sz val="10"/>
            <color indexed="81"/>
            <rFont val="Tahoma"/>
            <family val="2"/>
          </rPr>
          <t xml:space="preserve"> or NH</t>
        </r>
        <r>
          <rPr>
            <vertAlign val="subscript"/>
            <sz val="10"/>
            <color indexed="81"/>
            <rFont val="Tahoma"/>
            <family val="2"/>
          </rPr>
          <t>4</t>
        </r>
        <r>
          <rPr>
            <sz val="10"/>
            <color indexed="81"/>
            <rFont val="Tahoma"/>
            <family val="2"/>
          </rPr>
          <t>OH) or pyridine (neutral when unprotonated), once dissolved in water, will associate to some extend with protons (hydrolysis) and this debt of H</t>
        </r>
        <r>
          <rPr>
            <vertAlign val="superscript"/>
            <sz val="10"/>
            <color indexed="81"/>
            <rFont val="Tahoma"/>
            <family val="2"/>
          </rPr>
          <t>+</t>
        </r>
        <r>
          <rPr>
            <sz val="10"/>
            <color indexed="81"/>
            <rFont val="Tahoma"/>
            <family val="2"/>
          </rPr>
          <t xml:space="preserve"> is indicted by a negative value in line 13. 
A null value is expected when the pH of the titrand has the same value of the isoelectric point of an amphiprotic (or zwitterionic) acid-base system, e.g., alanine at pH 6.1 or EDTA at pH 1.7.
Hydroxide ion, due to its great affinity for H</t>
        </r>
        <r>
          <rPr>
            <vertAlign val="superscript"/>
            <sz val="10"/>
            <color indexed="81"/>
            <rFont val="Tahoma"/>
            <family val="2"/>
          </rPr>
          <t>+</t>
        </r>
        <r>
          <rPr>
            <sz val="10"/>
            <color indexed="81"/>
            <rFont val="Tahoma"/>
            <family val="2"/>
          </rPr>
          <t xml:space="preserve"> (high pKa) forms water as the neutral conjugated acid.  Water, in turn is amphiprotic but it protonates or deprotonates very little in the usual pH range, keeping the parameter in line 13 close to zero. However, the H</t>
        </r>
        <r>
          <rPr>
            <vertAlign val="superscript"/>
            <sz val="10"/>
            <color indexed="81"/>
            <rFont val="Tahoma"/>
            <family val="2"/>
          </rPr>
          <t>+</t>
        </r>
        <r>
          <rPr>
            <sz val="10"/>
            <color indexed="81"/>
            <rFont val="Tahoma"/>
            <family val="2"/>
          </rPr>
          <t xml:space="preserve"> deficit caused by the hydroxide protonation , if not fulfilled by some acid in the titrand, shows up as a negative value in I14 (in water, obviously, the association of an H+ ion with an hydroxide ion promotes the dissociation of a water molecule, restoring the hydroxide ion).  More about hydroxide properties: http://www1.lsbu.ac.uk/water/ionisoh.html
</t>
        </r>
      </text>
    </comment>
    <comment ref="I13" authorId="1">
      <text>
        <r>
          <rPr>
            <b/>
            <sz val="8"/>
            <color indexed="81"/>
            <rFont val="Tahoma"/>
            <family val="2"/>
          </rPr>
          <t>Gutz:</t>
        </r>
        <r>
          <rPr>
            <sz val="8"/>
            <color indexed="81"/>
            <rFont val="Tahoma"/>
            <family val="2"/>
          </rPr>
          <t xml:space="preserve">
</t>
        </r>
        <r>
          <rPr>
            <sz val="10"/>
            <color indexed="81"/>
            <rFont val="Tahoma"/>
            <family val="2"/>
          </rPr>
          <t>Summation of the concentration of H</t>
        </r>
        <r>
          <rPr>
            <vertAlign val="superscript"/>
            <sz val="10"/>
            <color indexed="81"/>
            <rFont val="Tahoma"/>
            <family val="2"/>
          </rPr>
          <t>+</t>
        </r>
        <r>
          <rPr>
            <sz val="10"/>
            <color indexed="81"/>
            <rFont val="Tahoma"/>
            <family val="2"/>
          </rPr>
          <t xml:space="preserve"> that, at the initial pH, would be liberated to the medium (or withdrawn, if negative) supposing that the sample (contained in the titrand) was made up only by bases and acids (fitted by regression) protonated to neutrality, e.g.,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and not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xml:space="preserve">. 
Frequently this supposition is </t>
        </r>
        <r>
          <rPr>
            <u/>
            <sz val="10"/>
            <color indexed="81"/>
            <rFont val="Tahoma"/>
            <family val="2"/>
          </rPr>
          <t>not</t>
        </r>
        <r>
          <rPr>
            <sz val="10"/>
            <color indexed="81"/>
            <rFont val="Tahoma"/>
            <family val="2"/>
          </rPr>
          <t xml:space="preserve"> fulfilled and negative values will appear, as explained in cell A13.</t>
        </r>
      </text>
    </comment>
    <comment ref="P13" authorId="0">
      <text>
        <r>
          <rPr>
            <b/>
            <sz val="8"/>
            <color indexed="81"/>
            <rFont val="Tahoma"/>
            <family val="2"/>
          </rPr>
          <t>Gutz:</t>
        </r>
        <r>
          <rPr>
            <sz val="8"/>
            <color indexed="81"/>
            <rFont val="Tahoma"/>
            <family val="2"/>
          </rPr>
          <t xml:space="preserve">
</t>
        </r>
        <r>
          <rPr>
            <sz val="10"/>
            <color indexed="81"/>
            <rFont val="Tahoma"/>
            <family val="2"/>
          </rPr>
          <t>Default value is 100% meaning that the slope of the sensor response is accurately calibrated (even if different from 100% or the theoretical one) and the temperature during titration is the same of the calibration (or compensated automatically by the pH meter).</t>
        </r>
      </text>
    </comment>
    <comment ref="R13" authorId="0">
      <text>
        <r>
          <rPr>
            <b/>
            <sz val="8"/>
            <color indexed="81"/>
            <rFont val="Tahoma"/>
            <family val="2"/>
          </rPr>
          <t>Gutz:</t>
        </r>
        <r>
          <rPr>
            <sz val="8"/>
            <color indexed="81"/>
            <rFont val="Tahoma"/>
            <family val="2"/>
          </rPr>
          <t xml:space="preserve">
</t>
        </r>
        <r>
          <rPr>
            <sz val="10"/>
            <color indexed="81"/>
            <rFont val="Tahoma"/>
            <family val="2"/>
          </rPr>
          <t>Summation of bivalent ion concentrations in the sample (before dilution). Example: for 0.1 mol/L Ca(NO</t>
        </r>
        <r>
          <rPr>
            <vertAlign val="subscript"/>
            <sz val="12"/>
            <color indexed="81"/>
            <rFont val="Tahoma"/>
            <family val="2"/>
          </rPr>
          <t>3</t>
        </r>
        <r>
          <rPr>
            <sz val="10"/>
            <color indexed="81"/>
            <rFont val="Tahoma"/>
            <family val="2"/>
          </rPr>
          <t>)</t>
        </r>
        <r>
          <rPr>
            <vertAlign val="subscript"/>
            <sz val="12"/>
            <color indexed="81"/>
            <rFont val="Tahoma"/>
            <family val="2"/>
          </rPr>
          <t>2</t>
        </r>
        <r>
          <rPr>
            <sz val="10"/>
            <color indexed="81"/>
            <rFont val="Tahoma"/>
            <family val="2"/>
          </rPr>
          <t xml:space="preserve">, write 0.1 in this line and 0.2 in the upper line (12). If F16&gt;0, dilutions should NOT be considered here for the Sample. </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in T3.</t>
        </r>
      </text>
    </comment>
    <comment ref="I14" authorId="1">
      <text>
        <r>
          <rPr>
            <b/>
            <sz val="8"/>
            <color indexed="81"/>
            <rFont val="Tahoma"/>
            <family val="2"/>
          </rPr>
          <t>Gutz:</t>
        </r>
        <r>
          <rPr>
            <sz val="8"/>
            <color indexed="81"/>
            <rFont val="Tahoma"/>
            <family val="2"/>
          </rPr>
          <t xml:space="preserve">
</t>
        </r>
        <r>
          <rPr>
            <sz val="10"/>
            <color indexed="81"/>
            <rFont val="Tahoma"/>
            <family val="2"/>
          </rPr>
          <t xml:space="preserve">This parameter allows the indirect determination of the concentration (in the sample) of acids that are too strong to be accurately fitted by regression in line 11 (read comment in cell H11). In fact it is the partial charge balance of a sample with the composition expressed by the cells B11 to H11, supposing it was made up from bases and acids protonated to neutrality (frequently not the case) at the pH of the titrand. 
</t>
        </r>
        <r>
          <rPr>
            <u/>
            <sz val="10"/>
            <color indexed="81"/>
            <rFont val="Tahoma"/>
            <family val="2"/>
          </rPr>
          <t>Positive value</t>
        </r>
        <r>
          <rPr>
            <sz val="10"/>
            <color indexed="81"/>
            <rFont val="Tahoma"/>
            <family val="2"/>
          </rPr>
          <t>: Indicates that there are still H</t>
        </r>
        <r>
          <rPr>
            <vertAlign val="superscript"/>
            <sz val="10"/>
            <color indexed="81"/>
            <rFont val="Tahoma"/>
            <family val="2"/>
          </rPr>
          <t>+</t>
        </r>
        <r>
          <rPr>
            <sz val="10"/>
            <color indexed="81"/>
            <rFont val="Tahoma"/>
            <family val="2"/>
          </rPr>
          <t xml:space="preserve"> ions available in the sample after subtracting both the undissociated (line 12) and dissociated (line 13) H</t>
        </r>
        <r>
          <rPr>
            <vertAlign val="superscript"/>
            <sz val="10"/>
            <color indexed="81"/>
            <rFont val="Tahoma"/>
            <family val="2"/>
          </rPr>
          <t xml:space="preserve">+ </t>
        </r>
        <r>
          <rPr>
            <sz val="10"/>
            <color indexed="81"/>
            <rFont val="Tahoma"/>
            <family val="2"/>
          </rPr>
          <t>from the total H</t>
        </r>
        <r>
          <rPr>
            <vertAlign val="superscript"/>
            <sz val="10"/>
            <color indexed="81"/>
            <rFont val="Tahoma"/>
            <family val="2"/>
          </rPr>
          <t>+</t>
        </r>
        <r>
          <rPr>
            <sz val="10"/>
            <color indexed="81"/>
            <rFont val="Tahoma"/>
            <family val="2"/>
          </rPr>
          <t xml:space="preserve"> concentration (I18). In most cases, it can be taken as the (total) concentration in the sample of relatively strong acid(s) that CurTiPot cannot properly fit by regression </t>
        </r>
        <r>
          <rPr>
            <sz val="10"/>
            <color indexed="81"/>
            <rFont val="Calibri"/>
            <family val="2"/>
          </rPr>
          <t>–</t>
        </r>
        <r>
          <rPr>
            <sz val="13"/>
            <color indexed="81"/>
            <rFont val="Tahoma"/>
            <family val="2"/>
          </rPr>
          <t xml:space="preserve"> </t>
        </r>
        <r>
          <rPr>
            <sz val="10"/>
            <color indexed="81"/>
            <rFont val="Tahoma"/>
            <family val="2"/>
          </rPr>
          <t xml:space="preserve">the concentration of monoprotic acids with pKa lower than the titrand pH </t>
        </r>
        <r>
          <rPr>
            <u/>
            <sz val="10"/>
            <color indexed="81"/>
            <rFont val="Tahoma"/>
            <family val="2"/>
          </rPr>
          <t xml:space="preserve">should </t>
        </r>
        <r>
          <rPr>
            <b/>
            <u/>
            <sz val="10"/>
            <color indexed="81"/>
            <rFont val="Tahoma"/>
            <family val="2"/>
          </rPr>
          <t>not</t>
        </r>
        <r>
          <rPr>
            <sz val="10"/>
            <color indexed="81"/>
            <rFont val="Tahoma"/>
            <family val="2"/>
          </rPr>
          <t xml:space="preserve"> be included as variable cell(s) of the Solver. Verification: copy the value of I14 into H11 (or any other column of line 11 chosen for the strong acid) and run the Solver once more; the value of I14 should now be neglectable (if not yet, H11 should fine tuned).</t>
        </r>
        <r>
          <rPr>
            <u/>
            <sz val="10"/>
            <color indexed="81"/>
            <rFont val="Tahoma"/>
            <family val="2"/>
          </rPr>
          <t xml:space="preserve">
</t>
        </r>
        <r>
          <rPr>
            <sz val="10"/>
            <color indexed="81"/>
            <rFont val="Tahoma"/>
            <family val="2"/>
          </rPr>
          <t xml:space="preserve">
</t>
        </r>
        <r>
          <rPr>
            <u/>
            <sz val="10"/>
            <color indexed="81"/>
            <rFont val="Tahoma"/>
            <family val="2"/>
          </rPr>
          <t>Negative value</t>
        </r>
        <r>
          <rPr>
            <sz val="10"/>
            <color indexed="81"/>
            <rFont val="Tahoma"/>
            <family val="2"/>
          </rPr>
          <t>: The titrated sample is dominated by negatively charged (conjugated) bases like OH</t>
        </r>
        <r>
          <rPr>
            <vertAlign val="superscript"/>
            <sz val="11"/>
            <color indexed="81"/>
            <rFont val="Tahoma"/>
            <family val="2"/>
          </rPr>
          <t>-</t>
        </r>
        <r>
          <rPr>
            <sz val="10"/>
            <color indexed="81"/>
            <rFont val="Tahoma"/>
            <family val="2"/>
          </rPr>
          <t>, SO</t>
        </r>
        <r>
          <rPr>
            <vertAlign val="subscript"/>
            <sz val="12"/>
            <color indexed="81"/>
            <rFont val="Tahoma"/>
            <family val="2"/>
          </rPr>
          <t>3</t>
        </r>
        <r>
          <rPr>
            <vertAlign val="superscript"/>
            <sz val="12"/>
            <color indexed="81"/>
            <rFont val="Tahoma"/>
            <family val="2"/>
          </rPr>
          <t>-2</t>
        </r>
        <r>
          <rPr>
            <sz val="10"/>
            <color indexed="81"/>
            <rFont val="Tahoma"/>
            <family val="2"/>
          </rPr>
          <t>, PO</t>
        </r>
        <r>
          <rPr>
            <vertAlign val="subscript"/>
            <sz val="12"/>
            <color indexed="81"/>
            <rFont val="Tahoma"/>
            <family val="2"/>
          </rPr>
          <t>4</t>
        </r>
        <r>
          <rPr>
            <vertAlign val="superscript"/>
            <sz val="12"/>
            <color indexed="81"/>
            <rFont val="Tahoma"/>
            <family val="2"/>
          </rPr>
          <t>3-</t>
        </r>
        <r>
          <rPr>
            <sz val="10"/>
            <color indexed="81"/>
            <rFont val="Tahoma"/>
            <family val="2"/>
          </rPr>
          <t xml:space="preserve"> or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 xml:space="preserve">- </t>
        </r>
        <r>
          <rPr>
            <sz val="10"/>
            <color indexed="81"/>
            <rFont val="Tahoma"/>
            <family val="2"/>
          </rPr>
          <t>at the initial pH value; the stoichiometric concentration of dissociated cations like Na</t>
        </r>
        <r>
          <rPr>
            <vertAlign val="superscript"/>
            <sz val="12"/>
            <color indexed="81"/>
            <rFont val="Tahoma"/>
            <family val="2"/>
          </rPr>
          <t xml:space="preserve">+ </t>
        </r>
        <r>
          <rPr>
            <sz val="10"/>
            <color indexed="81"/>
            <rFont val="Tahoma"/>
            <family val="2"/>
          </rPr>
          <t xml:space="preserve">will appear in cell M14 (=S15).
The absolute values of I14 and M14 (=S15) should be (nearly) equal because S15 is the estimated </t>
        </r>
        <r>
          <rPr>
            <sz val="10"/>
            <color indexed="81"/>
            <rFont val="Symbol"/>
            <family val="1"/>
            <charset val="2"/>
          </rPr>
          <t>S</t>
        </r>
        <r>
          <rPr>
            <sz val="10"/>
            <color indexed="81"/>
            <rFont val="Tahoma"/>
            <family val="2"/>
          </rPr>
          <t>z</t>
        </r>
        <r>
          <rPr>
            <vertAlign val="subscript"/>
            <sz val="10"/>
            <color indexed="81"/>
            <rFont val="Tahoma"/>
            <family val="2"/>
          </rPr>
          <t>j</t>
        </r>
        <r>
          <rPr>
            <sz val="10"/>
            <color indexed="81"/>
            <rFont val="Tahoma"/>
            <family val="2"/>
          </rPr>
          <t>C</t>
        </r>
        <r>
          <rPr>
            <vertAlign val="subscript"/>
            <sz val="10"/>
            <color indexed="81"/>
            <rFont val="Tahoma"/>
            <family val="2"/>
          </rPr>
          <t>j</t>
        </r>
        <r>
          <rPr>
            <sz val="10"/>
            <color indexed="81"/>
            <rFont val="Tahoma"/>
            <family val="2"/>
          </rPr>
          <t xml:space="preserve"> of the counterions of the components under consideration.
</t>
        </r>
        <r>
          <rPr>
            <u/>
            <sz val="10"/>
            <color indexed="81"/>
            <rFont val="Tahoma"/>
            <family val="2"/>
          </rPr>
          <t>Remark</t>
        </r>
        <r>
          <rPr>
            <sz val="10"/>
            <color indexed="81"/>
            <rFont val="Tahoma"/>
            <family val="2"/>
          </rPr>
          <t>: acid-base titrations curves of differently formulated samples may be undistinguishable in certain cases. The following examples of titrands titrated with NaOH will all display I14=0 after successful regression and the titration curves will be undistinguishable (besides a minimum vertical displacement of the plateau in the alkaline region caused by differences in ionic strength):
a) 0.1  mol/L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b) 0.1 mol/L HCl + 0.1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c) 0.2 mol/L HCl + 0.1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Independent determination of the concentration of  Cl</t>
        </r>
        <r>
          <rPr>
            <vertAlign val="superscript"/>
            <sz val="12"/>
            <color indexed="81"/>
            <rFont val="Tahoma"/>
            <family val="2"/>
          </rPr>
          <t>-</t>
        </r>
        <r>
          <rPr>
            <sz val="10"/>
            <color indexed="81"/>
            <rFont val="Tahoma"/>
            <family val="2"/>
          </rPr>
          <t xml:space="preserve"> or Na</t>
        </r>
        <r>
          <rPr>
            <vertAlign val="superscript"/>
            <sz val="12"/>
            <color indexed="81"/>
            <rFont val="Tahoma"/>
            <family val="2"/>
          </rPr>
          <t>+</t>
        </r>
        <r>
          <rPr>
            <sz val="10"/>
            <color indexed="81"/>
            <rFont val="Tahoma"/>
            <family val="2"/>
          </rPr>
          <t xml:space="preserve"> (e.g., by ion chromatography) or conductance measurements (if there is no other electrolyte in the sample) would be needed to distinguish among a, b and c cases. For titrations with very accurate pH measurements, fitting of S12 by regression may give an estimation of the difference in extra cation content.</t>
        </r>
      </text>
    </comment>
    <comment ref="L14" authorId="3">
      <text>
        <r>
          <rPr>
            <b/>
            <sz val="8"/>
            <color indexed="81"/>
            <rFont val="Tahoma"/>
            <family val="2"/>
          </rPr>
          <t>Gutz:</t>
        </r>
        <r>
          <rPr>
            <sz val="10"/>
            <color indexed="81"/>
            <rFont val="Tahoma"/>
            <family val="2"/>
          </rPr>
          <t xml:space="preserve">
This is a copy of S15, the minimum concentration of cations or anions to satisfy charge balance, after taking into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P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Q15" authorId="3">
      <text>
        <r>
          <rPr>
            <b/>
            <sz val="8"/>
            <color indexed="81"/>
            <rFont val="Tahoma"/>
            <family val="2"/>
          </rPr>
          <t>Gutz:</t>
        </r>
        <r>
          <rPr>
            <sz val="10"/>
            <color indexed="81"/>
            <rFont val="Tahoma"/>
            <family val="2"/>
          </rPr>
          <t xml:space="preserve">
Minimum concentration of cations or anions to satisfy charge balance, after taking in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r>
          <rPr>
            <sz val="8"/>
            <color indexed="81"/>
            <rFont val="Tahoma"/>
            <family val="2"/>
          </rPr>
          <t xml:space="preserve">
</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E16" authorId="1">
      <text>
        <r>
          <rPr>
            <b/>
            <sz val="8"/>
            <color indexed="81"/>
            <rFont val="Tahoma"/>
            <family val="2"/>
          </rPr>
          <t>Gutz:</t>
        </r>
        <r>
          <rPr>
            <sz val="8"/>
            <color indexed="81"/>
            <rFont val="Tahoma"/>
            <family val="2"/>
          </rPr>
          <t xml:space="preserve">
</t>
        </r>
        <r>
          <rPr>
            <sz val="10"/>
            <color indexed="81"/>
            <rFont val="Tahoma"/>
            <family val="2"/>
          </rPr>
          <t>Volume of the aliquot of titrand (sample)</t>
        </r>
      </text>
    </comment>
    <comment ref="F16" authorId="0">
      <text>
        <r>
          <rPr>
            <b/>
            <sz val="10"/>
            <color indexed="81"/>
            <rFont val="Tahoma"/>
            <family val="2"/>
          </rPr>
          <t>Gutz:</t>
        </r>
        <r>
          <rPr>
            <sz val="10"/>
            <color indexed="81"/>
            <rFont val="Tahoma"/>
            <family val="2"/>
          </rPr>
          <t xml:space="preserve">
Water (or an electrolyte solution) is frequently added to the sample until the glass electrode bulb and reference electrode junction are immersed in the solution. </t>
        </r>
      </text>
    </comment>
    <comment ref="G16" authorId="0">
      <text>
        <r>
          <rPr>
            <b/>
            <sz val="8"/>
            <color indexed="81"/>
            <rFont val="Tahoma"/>
            <family val="2"/>
          </rPr>
          <t>Gutz:</t>
        </r>
        <r>
          <rPr>
            <sz val="10"/>
            <color indexed="81"/>
            <rFont val="Tahoma"/>
            <family val="2"/>
          </rPr>
          <t xml:space="preserve">
Total  volume before titration.</t>
        </r>
      </text>
    </comment>
    <comment ref="H16" authorId="0">
      <text>
        <r>
          <rPr>
            <b/>
            <sz val="8"/>
            <color indexed="81"/>
            <rFont val="Tahoma"/>
            <family val="2"/>
          </rPr>
          <t>Gutz:</t>
        </r>
        <r>
          <rPr>
            <sz val="8"/>
            <color indexed="81"/>
            <rFont val="Tahoma"/>
            <family val="2"/>
          </rPr>
          <t xml:space="preserve">
</t>
        </r>
        <r>
          <rPr>
            <sz val="10"/>
            <color indexed="81"/>
            <rFont val="Tahoma"/>
            <family val="2"/>
          </rPr>
          <t>Calculated using I given in cell M16. To change I refer to cell S12. To set I=0 click on button at A22.</t>
        </r>
      </text>
    </comment>
    <comment ref="L16" authorId="0">
      <text>
        <r>
          <rPr>
            <b/>
            <sz val="8"/>
            <color indexed="81"/>
            <rFont val="Tahoma"/>
            <family val="2"/>
          </rPr>
          <t>Gutz:</t>
        </r>
        <r>
          <rPr>
            <sz val="10"/>
            <color indexed="81"/>
            <rFont val="Tahoma"/>
            <family val="2"/>
          </rPr>
          <t xml:space="preserve">
To set I=0, click on "Set I=0 and </t>
        </r>
        <r>
          <rPr>
            <sz val="10"/>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=1" at cell A22;
To enter concentrations of electrolytes, fill out cells S12 to T13;
To calculate I and recalculate it after each regression, click on "Calculate / Update I" at cells C22 or Q25 .</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Default value is 0.509. 
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H17" authorId="0">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calculated for the sample (=titrand only if F16=0) by using the initial pH of the titrand (before addition of titrant) and the concentrations (and pKas) fitted with the Solver tool.</t>
        </r>
      </text>
    </comment>
    <comment ref="O17" authorId="0">
      <text>
        <r>
          <rPr>
            <b/>
            <sz val="8"/>
            <color indexed="81"/>
            <rFont val="Tahoma"/>
            <family val="2"/>
          </rPr>
          <t>Gutz:</t>
        </r>
        <r>
          <rPr>
            <sz val="8"/>
            <color indexed="81"/>
            <rFont val="Tahoma"/>
            <family val="2"/>
          </rPr>
          <t xml:space="preserve">
</t>
        </r>
        <r>
          <rPr>
            <sz val="10"/>
            <color indexed="81"/>
            <rFont val="Tahoma"/>
            <family val="2"/>
          </rPr>
          <t>Default value is 0.300. Read comment  in cell O16 and P15.</t>
        </r>
      </text>
    </comment>
    <comment ref="H18" authorId="1">
      <text>
        <r>
          <rPr>
            <b/>
            <sz val="10"/>
            <color indexed="81"/>
            <rFont val="Tahoma"/>
            <family val="2"/>
          </rPr>
          <t>Gutz:</t>
        </r>
        <r>
          <rPr>
            <sz val="10"/>
            <color indexed="81"/>
            <rFont val="Tahoma"/>
            <family val="2"/>
          </rPr>
          <t xml:space="preserve">
This this is the fitted total concentration of H</t>
        </r>
        <r>
          <rPr>
            <vertAlign val="superscript"/>
            <sz val="10"/>
            <color indexed="81"/>
            <rFont val="Tahoma"/>
            <family val="2"/>
          </rPr>
          <t>+</t>
        </r>
        <r>
          <rPr>
            <sz val="10"/>
            <color indexed="81"/>
            <rFont val="Tahoma"/>
            <family val="2"/>
          </rPr>
          <t xml:space="preserve"> in the sample (regardless of F16=0 or&gt;0), that could be liberated from all acids (and bases) for the concentrations found by the Solver. Refer to comments in cell H19 on how to install the Solver and define the destination cell.
In Solver's field for </t>
        </r>
        <r>
          <rPr>
            <b/>
            <sz val="10"/>
            <color indexed="81"/>
            <rFont val="Tahoma"/>
            <family val="2"/>
          </rPr>
          <t>variable cells</t>
        </r>
        <r>
          <rPr>
            <sz val="10"/>
            <color indexed="81"/>
            <rFont val="Tahoma"/>
            <family val="2"/>
          </rPr>
          <t xml:space="preserve">, write:
- I18 and the indexes of cells of line 11 (with exception of strong acids) corresponding to the total concentrations of acids/bases possibly present in a sample (at any protonation level), e.g., I18; B11; C11 etc.; (variables must be separated by a semicolon; variables can also be entered by holding down Ctrl and clicking on cells to be fitted).
- exclusively I18 (nothing else) for samples containing only strong acid(s) (with pKa values below the pH range covered by the titration) (read also I14); or I18 and indexes of weak acids/bases possibly present besides the strong one(s). 
- for </t>
        </r>
        <r>
          <rPr>
            <u/>
            <sz val="10"/>
            <color indexed="81"/>
            <rFont val="Tahoma"/>
            <family val="2"/>
          </rPr>
          <t>alkaline</t>
        </r>
        <r>
          <rPr>
            <sz val="10"/>
            <color indexed="81"/>
            <rFont val="Tahoma"/>
            <family val="2"/>
          </rPr>
          <t xml:space="preserve"> samples containing strong bases, do </t>
        </r>
        <r>
          <rPr>
            <b/>
            <sz val="10"/>
            <color indexed="81"/>
            <rFont val="Tahoma"/>
            <family val="2"/>
          </rPr>
          <t>not</t>
        </r>
        <r>
          <rPr>
            <sz val="10"/>
            <color indexed="81"/>
            <rFont val="Tahoma"/>
            <family val="2"/>
          </rPr>
          <t xml:space="preserve"> include I18 as a variable cell of the Solver and </t>
        </r>
        <r>
          <rPr>
            <b/>
            <sz val="10"/>
            <color indexed="81"/>
            <rFont val="Tahoma"/>
            <family val="2"/>
          </rPr>
          <t>write 0 in cell I18</t>
        </r>
        <r>
          <rPr>
            <sz val="10"/>
            <color indexed="81"/>
            <rFont val="Tahoma"/>
            <family val="2"/>
          </rPr>
          <t xml:space="preserve"> instead. If satisfactory fitting is not attained after some cycles with Solver (with residuals plots showing a trend), include I18 as a variable cell but if any systematic increase of I18 occurs together with the concentration of the strong base during consecutive refinement cycles with Solver, reset I18 to zero.
Due to data scatter and stringent convergence criteria defined (by the author) for the Solver, a warning that no solution was found is frequently displayed; in general, the message can be ignored because the values fitted are reasonable enough to be accepted. After accepting the results and clicking on buttons at C22 and E22 to update I, the improvement of the fitting of the calculated curve to the experimental one should be inspected and the fitting cycles repeated as needed, ideally until scattered residuals around zero (without any tendency) are observed.
In case of convergence problems, the Solver can be stopped pressing Esc. A new start with the smallest possible number of most relevant variable cells, accompanied with reasonable initial estimates of the concentrations and pKas is recommended. Convergence criteria can be changed in the Solver setup as can the 100 iterations and 30 seconds default limits. Possible minor components of the sample (e.g., the contamination with carbon dioxide) may be added one by one to the Solver, and evaluated regarding the improvement of the global fit. 
Database pKa values may require refinement to best suit them to the effective conditions of a titration (temperature, ionic strength, dielectric constant, inaccurate calibration of the electrodes, etc.). This may be attained with the Solver for pKa values within the pH range of the titration.</t>
        </r>
      </text>
    </comment>
    <comment ref="S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T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U18"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G19" authorId="3">
      <text>
        <r>
          <rPr>
            <b/>
            <sz val="8"/>
            <color indexed="81"/>
            <rFont val="Tahoma"/>
            <family val="2"/>
          </rPr>
          <t xml:space="preserve">Gutz
</t>
        </r>
        <r>
          <rPr>
            <sz val="10"/>
            <color indexed="81"/>
            <rFont val="Tahoma"/>
            <family val="2"/>
          </rPr>
          <t>This pH value is NOT updated automatically. Click on "Find titrant pH" or "Calculate / Update I" after any change in the titrant composition (acids, bases or electrolytes, including cells T12 and T13), in order to have a better estimate I.
The pH of the titrand appears in line 41 (Vol.=0)</t>
        </r>
      </text>
    </comment>
    <comment ref="H19" authorId="1">
      <text>
        <r>
          <rPr>
            <b/>
            <sz val="8"/>
            <color indexed="81"/>
            <rFont val="Tahoma"/>
            <family val="2"/>
          </rPr>
          <t>Gutz:</t>
        </r>
        <r>
          <rPr>
            <sz val="8"/>
            <color indexed="81"/>
            <rFont val="Tahoma"/>
            <family val="2"/>
          </rPr>
          <t xml:space="preserve">
</t>
        </r>
        <r>
          <rPr>
            <sz val="10"/>
            <color indexed="81"/>
            <rFont val="Tahoma"/>
            <family val="2"/>
          </rPr>
          <t xml:space="preserve">I19 is Solver's </t>
        </r>
        <r>
          <rPr>
            <b/>
            <sz val="10"/>
            <color indexed="81"/>
            <rFont val="Tahoma"/>
            <family val="2"/>
          </rPr>
          <t>Destination cell</t>
        </r>
        <r>
          <rPr>
            <sz val="10"/>
            <color indexed="81"/>
            <rFont val="Tahoma"/>
            <family val="2"/>
          </rPr>
          <t xml:space="preserve">, to be minimized by adjusting the variable cells (concentrations, pKas, etc., as explained in cell H18). The summation of the product of the three following parameters raised to a weighting exponent is used as the criteria of the quality of the fit:
Combined residuals = </t>
        </r>
        <r>
          <rPr>
            <sz val="12"/>
            <color indexed="81"/>
            <rFont val="Symbol"/>
            <family val="1"/>
            <charset val="2"/>
          </rPr>
          <t xml:space="preserve">S </t>
        </r>
        <r>
          <rPr>
            <sz val="12"/>
            <color indexed="81"/>
            <rFont val="Tahoma"/>
            <family val="2"/>
          </rPr>
          <t>(</t>
        </r>
        <r>
          <rPr>
            <sz val="10"/>
            <color indexed="81"/>
            <rFont val="Tahoma"/>
            <family val="2"/>
          </rPr>
          <t>|CH</t>
        </r>
        <r>
          <rPr>
            <vertAlign val="subscript"/>
            <sz val="12"/>
            <color indexed="81"/>
            <rFont val="Tahoma"/>
            <family val="2"/>
          </rPr>
          <t>Reg</t>
        </r>
        <r>
          <rPr>
            <sz val="10"/>
            <color indexed="81"/>
            <rFont val="Tahoma"/>
            <family val="2"/>
          </rPr>
          <t xml:space="preserve"> - CH</t>
        </r>
        <r>
          <rPr>
            <vertAlign val="subscript"/>
            <sz val="12"/>
            <color indexed="81"/>
            <rFont val="Tahoma"/>
            <family val="2"/>
          </rPr>
          <t>Calc</t>
        </r>
        <r>
          <rPr>
            <sz val="10"/>
            <color indexed="81"/>
            <rFont val="Tahoma"/>
            <family val="2"/>
          </rPr>
          <t>|</t>
        </r>
        <r>
          <rPr>
            <vertAlign val="superscript"/>
            <sz val="12"/>
            <color indexed="81"/>
            <rFont val="Tahoma"/>
            <family val="2"/>
          </rPr>
          <t xml:space="preserve">a </t>
        </r>
        <r>
          <rPr>
            <sz val="10"/>
            <color indexed="81"/>
            <rFont val="Tahoma"/>
            <family val="2"/>
          </rPr>
          <t>·|pH</t>
        </r>
        <r>
          <rPr>
            <vertAlign val="subscript"/>
            <sz val="12"/>
            <color indexed="81"/>
            <rFont val="Tahoma"/>
            <family val="2"/>
          </rPr>
          <t xml:space="preserve">Reg </t>
        </r>
        <r>
          <rPr>
            <sz val="10"/>
            <color indexed="81"/>
            <rFont val="Tahoma"/>
            <family val="2"/>
          </rPr>
          <t>- pH|</t>
        </r>
        <r>
          <rPr>
            <vertAlign val="superscript"/>
            <sz val="12"/>
            <color indexed="81"/>
            <rFont val="Tahoma"/>
            <family val="2"/>
          </rPr>
          <t xml:space="preserve">b </t>
        </r>
        <r>
          <rPr>
            <sz val="10"/>
            <color indexed="81"/>
            <rFont val="Tahoma"/>
            <family val="2"/>
          </rPr>
          <t>·|dpH/dV|</t>
        </r>
        <r>
          <rPr>
            <vertAlign val="superscript"/>
            <sz val="12"/>
            <color indexed="81"/>
            <rFont val="Tahoma"/>
            <family val="2"/>
          </rPr>
          <t>c</t>
        </r>
        <r>
          <rPr>
            <sz val="12"/>
            <color indexed="81"/>
            <rFont val="Tahoma"/>
            <family val="2"/>
          </rPr>
          <t>)</t>
        </r>
        <r>
          <rPr>
            <sz val="10"/>
            <color indexed="81"/>
            <rFont val="Tahoma"/>
            <family val="2"/>
          </rPr>
          <t xml:space="preserve">
The exponents a, b e c control the relative weight of the CH and pH residuals and the dpH/dV slope (that allows to increase the weight of data close to inflections) and are user definable in cells I20, K20 and M20, 2, 0 and 0 being the defaults. More information about each term in cells H20, J20 and L20. The weighting scheme may be modified by changing the equations of columns E to H, starting at line 41. 
If Excel's Solver is not listed in Data / Analysis (or under Tools, in older Excel versions) refer to cell AP1 for instructions.
At the first usage, check "Min." option in the second line of the setup box and "fit only positive values" after the (empty) restrictions box. You may change other options later to see if there is any improvement in the regression. </t>
        </r>
      </text>
    </comment>
    <comment ref="H20" authorId="1">
      <text>
        <r>
          <rPr>
            <b/>
            <sz val="8"/>
            <color indexed="81"/>
            <rFont val="Tahoma"/>
            <family val="2"/>
          </rPr>
          <t>Gutz:</t>
        </r>
        <r>
          <rPr>
            <sz val="8"/>
            <color indexed="81"/>
            <rFont val="Tahoma"/>
            <family val="2"/>
          </rPr>
          <t xml:space="preserve">
</t>
        </r>
        <r>
          <rPr>
            <sz val="10"/>
            <color indexed="81"/>
            <rFont val="Tahoma"/>
            <family val="2"/>
          </rPr>
          <t xml:space="preserve">Exponent </t>
        </r>
        <r>
          <rPr>
            <b/>
            <sz val="10"/>
            <color indexed="81"/>
            <rFont val="Tahoma"/>
            <family val="2"/>
          </rPr>
          <t>a</t>
        </r>
        <r>
          <rPr>
            <sz val="10"/>
            <color indexed="81"/>
            <rFont val="Tahoma"/>
            <family val="2"/>
          </rPr>
          <t xml:space="preserve"> is applied to the absolute value of the difference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of each data point (column H beginning at line 41).
</t>
        </r>
        <r>
          <rPr>
            <b/>
            <sz val="10"/>
            <color indexed="81"/>
            <rFont val="Tahoma"/>
            <family val="2"/>
          </rPr>
          <t>2</t>
        </r>
        <r>
          <rPr>
            <sz val="10"/>
            <color indexed="81"/>
            <rFont val="Tahoma"/>
            <family val="2"/>
          </rPr>
          <t xml:space="preserve"> (two) is the normal value of </t>
        </r>
        <r>
          <rPr>
            <b/>
            <sz val="10"/>
            <color indexed="81"/>
            <rFont val="Tahoma"/>
            <family val="2"/>
          </rPr>
          <t>a</t>
        </r>
        <r>
          <rPr>
            <sz val="10"/>
            <color indexed="81"/>
            <rFont val="Tahoma"/>
            <family val="2"/>
          </rPr>
          <t xml:space="preserve"> because it provides the minimization of the sum of squared errors or residuals, SSR, during the iterative nonlinear regression.
1 (one) may be considered to reduce the effect of outliers and/or or to decrease the relative weight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residuals against pH</t>
        </r>
        <r>
          <rPr>
            <vertAlign val="subscript"/>
            <sz val="10"/>
            <color indexed="81"/>
            <rFont val="Tahoma"/>
            <family val="2"/>
          </rPr>
          <t>Reg</t>
        </r>
        <r>
          <rPr>
            <sz val="10"/>
            <color indexed="81"/>
            <rFont val="Tahoma"/>
            <family val="2"/>
          </rPr>
          <t>-pH residuals and/or dpH/dV (see cells H19, J20 and L20). 
0 (zero) is NOT acceptable because all weighted residuals will become equal to 1, making the Solver lose track of the progress of the fitting (setting b=1 does not help because |pH</t>
        </r>
        <r>
          <rPr>
            <vertAlign val="subscript"/>
            <sz val="10"/>
            <color indexed="81"/>
            <rFont val="Tahoma"/>
            <family val="2"/>
          </rPr>
          <t>Reg</t>
        </r>
        <r>
          <rPr>
            <sz val="10"/>
            <color indexed="81"/>
            <rFont val="Tahoma"/>
            <family val="2"/>
          </rPr>
          <t xml:space="preserve"> - pH|</t>
        </r>
        <r>
          <rPr>
            <vertAlign val="superscript"/>
            <sz val="10"/>
            <color indexed="81"/>
            <rFont val="Tahoma"/>
            <family val="2"/>
          </rPr>
          <t>b</t>
        </r>
        <r>
          <rPr>
            <sz val="10"/>
            <color indexed="81"/>
            <rFont val="Tahoma"/>
            <family val="2"/>
          </rPr>
          <t xml:space="preserve"> is not updated during a regression but afterwards).
Examination of the plots of residuals of CH and pH may help to decide if a change of the default setting of a=2, b=0, and c=0 should be considered and/or if rejection of outliers from the data set may be justifiable.
</t>
        </r>
      </text>
    </comment>
    <comment ref="J20" authorId="1">
      <text>
        <r>
          <rPr>
            <b/>
            <sz val="8"/>
            <color indexed="81"/>
            <rFont val="Tahoma"/>
            <family val="2"/>
          </rPr>
          <t>Gutz:</t>
        </r>
        <r>
          <rPr>
            <sz val="10"/>
            <color indexed="81"/>
            <rFont val="Tahoma"/>
            <family val="2"/>
          </rPr>
          <t xml:space="preserve">
Exponent </t>
        </r>
        <r>
          <rPr>
            <b/>
            <sz val="10"/>
            <color indexed="81"/>
            <rFont val="Tahoma"/>
            <family val="2"/>
          </rPr>
          <t>b</t>
        </r>
        <r>
          <rPr>
            <sz val="10"/>
            <color indexed="81"/>
            <rFont val="Tahoma"/>
            <family val="2"/>
          </rPr>
          <t xml:space="preserve"> is set to 0 by default, so that pH residuals are ignored (once |pH</t>
        </r>
        <r>
          <rPr>
            <vertAlign val="subscript"/>
            <sz val="10"/>
            <color indexed="81"/>
            <rFont val="Tahoma"/>
            <family val="2"/>
          </rPr>
          <t>Reg</t>
        </r>
        <r>
          <rPr>
            <sz val="10"/>
            <color indexed="81"/>
            <rFont val="Tahoma"/>
            <family val="2"/>
          </rPr>
          <t>-pH|</t>
        </r>
        <r>
          <rPr>
            <vertAlign val="superscript"/>
            <sz val="10"/>
            <color indexed="81"/>
            <rFont val="Tahoma"/>
            <family val="2"/>
          </rPr>
          <t>b</t>
        </r>
        <r>
          <rPr>
            <sz val="10"/>
            <color indexed="81"/>
            <rFont val="Tahoma"/>
            <family val="2"/>
          </rPr>
          <t xml:space="preserve"> = 1 for every data point) in data weighting.
After one or more runs of the Solver, a more unsatisfactory residuals graph of pH than of CH may be improved by setting </t>
        </r>
        <r>
          <rPr>
            <b/>
            <sz val="10"/>
            <color indexed="81"/>
            <rFont val="Tahoma"/>
            <family val="2"/>
          </rPr>
          <t>b</t>
        </r>
        <r>
          <rPr>
            <sz val="10"/>
            <color indexed="81"/>
            <rFont val="Tahoma"/>
            <family val="2"/>
          </rPr>
          <t xml:space="preserve"> = 1 (while keeping a = 2 or 1). 
</t>
        </r>
        <r>
          <rPr>
            <u/>
            <sz val="10"/>
            <color indexed="81"/>
            <rFont val="Tahoma"/>
            <family val="2"/>
          </rPr>
          <t>Shortcoming:</t>
        </r>
        <r>
          <rPr>
            <sz val="10"/>
            <color indexed="81"/>
            <rFont val="Tahoma"/>
            <family val="2"/>
          </rPr>
          <t xml:space="preserve"> The weighted pH residuals are recalculated only between successive runs of the Solver while clicking on button E22; in other words, they are used just as fixed (but still effective) multipliers of the |CHReg – CHcalc| residuals used during Solver's iterations.</t>
        </r>
      </text>
    </comment>
    <comment ref="L20" authorId="1">
      <text>
        <r>
          <rPr>
            <b/>
            <sz val="8"/>
            <color indexed="81"/>
            <rFont val="Tahoma"/>
            <family val="2"/>
          </rPr>
          <t>Gutz:</t>
        </r>
        <r>
          <rPr>
            <sz val="10"/>
            <color indexed="81"/>
            <rFont val="Tahoma"/>
            <family val="2"/>
          </rPr>
          <t xml:space="preserve">
This exponent can be increased from zero to 1 or even 2 to increase the relative weight of data for unbuffered regions close to the inflections (high |dpH/dVol|), forcing a better fit near the titration "end points" (and thus, the precision of the concentrations to be determined), at the price of larger deviations in other regions, if the parameters of the chosen model cannot perfectly describe the complete data set (sometimes obtained with a non-rigourously calibrated glass electrode, temperature or ionic strength variations, etc.).
c=0 is shoud be always used when pKas are being determined from high quality data.  The default value of c=0 corresponds to unitary weight for all data: |dpH/dVol|</t>
        </r>
        <r>
          <rPr>
            <vertAlign val="superscript"/>
            <sz val="12"/>
            <color indexed="81"/>
            <rFont val="Tahoma"/>
            <family val="2"/>
          </rPr>
          <t>0</t>
        </r>
        <r>
          <rPr>
            <sz val="10"/>
            <color indexed="81"/>
            <rFont val="Tahoma"/>
            <family val="2"/>
          </rPr>
          <t xml:space="preserve">=1. 
</t>
        </r>
      </text>
    </comment>
    <comment ref="S21" authorId="0">
      <text>
        <r>
          <rPr>
            <b/>
            <sz val="8"/>
            <color indexed="81"/>
            <rFont val="Tahoma"/>
            <family val="2"/>
          </rPr>
          <t>Gutz:</t>
        </r>
        <r>
          <rPr>
            <sz val="10"/>
            <color indexed="81"/>
            <rFont val="Tahoma"/>
            <family val="2"/>
          </rPr>
          <t xml:space="preserve">
Data displayed in cells S22 to S26 refer to the titrand, after dilution, if any (see F16), but before addition of titrant. The corresponding values for the entire titration are shown in columns AT, AU, etc. starting at line 41. 
After each cycle of concentration fitting of acids and bases by non-linear regression with Solver, please click on the button "Calculate / Update</t>
        </r>
        <r>
          <rPr>
            <sz val="10"/>
            <color indexed="81"/>
            <rFont val="Bookman Old Style"/>
            <family val="1"/>
          </rPr>
          <t xml:space="preserve"> I</t>
        </r>
        <r>
          <rPr>
            <sz val="10"/>
            <color indexed="81"/>
            <rFont val="Tahoma"/>
            <family val="2"/>
          </rPr>
          <t xml:space="preserve">" (Q25 or C20) to update of this data. </t>
        </r>
      </text>
    </comment>
    <comment ref="T21" authorId="0">
      <text>
        <r>
          <rPr>
            <b/>
            <sz val="8"/>
            <color indexed="81"/>
            <rFont val="Tahoma"/>
            <family val="2"/>
          </rPr>
          <t>Gutz:</t>
        </r>
        <r>
          <rPr>
            <sz val="8"/>
            <color indexed="81"/>
            <rFont val="Tahoma"/>
            <family val="2"/>
          </rPr>
          <t xml:space="preserve">
</t>
        </r>
        <r>
          <rPr>
            <sz val="10"/>
            <color indexed="81"/>
            <rFont val="Tahoma"/>
            <family val="2"/>
          </rPr>
          <t>Calculations in this column are made by clicking on G17 "Find titrant pH", Q25 or C22 and depend of the known or fitted concentrations of acids, bases and electrolytes in the titrant.</t>
        </r>
      </text>
    </comment>
    <comment ref="Q22"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AR (begining at AR41), based on  the last regression results.</t>
        </r>
      </text>
    </comment>
    <comment ref="R23" authorId="0">
      <text>
        <r>
          <rPr>
            <b/>
            <sz val="8"/>
            <color indexed="81"/>
            <rFont val="Tahoma"/>
            <family val="2"/>
          </rPr>
          <t>Gutz:</t>
        </r>
        <r>
          <rPr>
            <sz val="8"/>
            <color indexed="81"/>
            <rFont val="Tahoma"/>
            <family val="2"/>
          </rPr>
          <t xml:space="preserve">
</t>
        </r>
        <r>
          <rPr>
            <sz val="10"/>
            <color indexed="81"/>
            <rFont val="Tahoma"/>
            <family val="2"/>
          </rPr>
          <t>By clicking on "Calculate / Update I" (Q25) the activity coefficient of H</t>
        </r>
        <r>
          <rPr>
            <vertAlign val="superscript"/>
            <sz val="10"/>
            <color indexed="81"/>
            <rFont val="Tahoma"/>
            <family val="2"/>
          </rPr>
          <t>+</t>
        </r>
        <r>
          <rPr>
            <sz val="10"/>
            <color indexed="81"/>
            <rFont val="Tahoma"/>
            <family val="2"/>
          </rPr>
          <t xml:space="preserve"> in the Titrand and the Titrant solutions (before the first addition of titrant) are estimated with the Davies equation. Read more in cells P15, O16 and O17.
For the activity coefficients and I values during the  titration, refer to columns AT and AU begining at line 41.  </t>
        </r>
      </text>
    </comment>
    <comment ref="N27" authorId="0">
      <text>
        <r>
          <rPr>
            <b/>
            <sz val="9"/>
            <color indexed="81"/>
            <rFont val="Segoe UI"/>
            <family val="2"/>
          </rPr>
          <t>Gutz:</t>
        </r>
        <r>
          <rPr>
            <sz val="9"/>
            <color indexed="81"/>
            <rFont val="Segoe UI"/>
            <family val="2"/>
          </rPr>
          <t xml:space="preserve">
</t>
        </r>
        <r>
          <rPr>
            <sz val="10"/>
            <color indexed="81"/>
            <rFont val="Segoe UI"/>
            <family val="2"/>
          </rPr>
          <t>Relative standard deviation of the residuals in % of the total CH fitted in I18.</t>
        </r>
      </text>
    </comment>
    <comment ref="E38" authorId="0">
      <text>
        <r>
          <rPr>
            <b/>
            <sz val="9"/>
            <color indexed="81"/>
            <rFont val="Segoe UI"/>
            <family val="2"/>
          </rPr>
          <t>Gutz:</t>
        </r>
        <r>
          <rPr>
            <sz val="9"/>
            <color indexed="81"/>
            <rFont val="Segoe UI"/>
            <family val="2"/>
          </rPr>
          <t xml:space="preserve">
</t>
        </r>
        <r>
          <rPr>
            <sz val="10"/>
            <color indexed="81"/>
            <rFont val="Segoe UI"/>
            <family val="2"/>
          </rPr>
          <t>For more than 160 data pairs, contact the author.
For short data sets, calculations may be speeded up by reducing accordingly the upper limits in the equations of cells I19, O24 to O26 and O32 to O34 (all equations in unused bottom lines of columns D to AX may also be deleted).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B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C39" authorId="1">
      <text>
        <r>
          <rPr>
            <b/>
            <sz val="8"/>
            <color indexed="81"/>
            <rFont val="Tahoma"/>
            <family val="2"/>
          </rPr>
          <t>Gutz:</t>
        </r>
        <r>
          <rPr>
            <sz val="8"/>
            <color indexed="81"/>
            <rFont val="Tahoma"/>
            <family val="2"/>
          </rPr>
          <t xml:space="preserve">
</t>
        </r>
        <r>
          <rPr>
            <sz val="10"/>
            <color indexed="81"/>
            <rFont val="Tahoma"/>
            <family val="2"/>
          </rPr>
          <t>Click on button at cell E22 to calculate this column of pH with the fitted parameters, to overlay the fitted curve on the raw data graph, and to plot the residuals of pH</t>
        </r>
        <r>
          <rPr>
            <vertAlign val="subscript"/>
            <sz val="10"/>
            <color indexed="81"/>
            <rFont val="Tahoma"/>
            <family val="2"/>
          </rPr>
          <t>Reg</t>
        </r>
        <r>
          <rPr>
            <sz val="10"/>
            <color indexed="81"/>
            <rFont val="Tahoma"/>
            <family val="2"/>
          </rPr>
          <t xml:space="preserve"> - pH vs. Vol.</t>
        </r>
      </text>
    </comment>
    <comment ref="D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 if not corrected by clicking on buttons at cells C22 and E22).</t>
        </r>
      </text>
    </comment>
    <comment ref="F39" authorId="1">
      <text>
        <r>
          <rPr>
            <b/>
            <sz val="8"/>
            <color indexed="81"/>
            <rFont val="Tahoma"/>
            <family val="2"/>
          </rPr>
          <t>Gutz:</t>
        </r>
        <r>
          <rPr>
            <sz val="8"/>
            <color indexed="81"/>
            <rFont val="Tahoma"/>
            <family val="2"/>
          </rPr>
          <t xml:space="preserve">
</t>
        </r>
        <r>
          <rPr>
            <sz val="10"/>
            <color indexed="81"/>
            <rFont val="Tahoma"/>
            <family val="2"/>
          </rPr>
          <t xml:space="preserve">3rd parameter available for minimization during regression, with weight defined by the exponent </t>
        </r>
        <r>
          <rPr>
            <b/>
            <sz val="10"/>
            <color indexed="81"/>
            <rFont val="Tahoma"/>
            <family val="2"/>
          </rPr>
          <t>c</t>
        </r>
        <r>
          <rPr>
            <sz val="10"/>
            <color indexed="81"/>
            <rFont val="Tahoma"/>
            <family val="2"/>
          </rPr>
          <t xml:space="preserve"> in cell M20.
It consists of the difference between the measured (or simulated) pH (column B) and the pH calculated by using the regression fitted acid/base concentrations. 
pHreg can be updated after each regression with Solver by clicking  on button at cell E21. The corresponding graphic of residues is updated as well. This parameter can be ignored by setting c=0 in cell M20, or enhanced, by choosing exponent 2 instead of 1.
(May be used for temporary exclusion of a data point by entering 0 (zero); however, the original equation must be restored for later use of Regression by dragging it from the upper or lower line). </t>
        </r>
      </text>
    </comment>
    <comment ref="G39" authorId="1">
      <text>
        <r>
          <rPr>
            <b/>
            <sz val="8"/>
            <color indexed="81"/>
            <rFont val="Tahoma"/>
            <family val="2"/>
          </rPr>
          <t>Gutz:</t>
        </r>
        <r>
          <rPr>
            <sz val="8"/>
            <color indexed="81"/>
            <rFont val="Tahoma"/>
            <family val="2"/>
          </rPr>
          <t xml:space="preserve">
</t>
        </r>
        <r>
          <rPr>
            <sz val="10"/>
            <color indexed="81"/>
            <rFont val="Tahoma"/>
            <family val="2"/>
          </rPr>
          <t>By default, squared values of the residuals given in column H are minimized during Solver's fitting of the variable cells. See cells H20 to M20 about inclusion of pHReg-pH and dpH/dV in the data weighting scheme.</t>
        </r>
      </text>
    </comment>
    <comment ref="H39" authorId="1">
      <text>
        <r>
          <rPr>
            <b/>
            <sz val="8"/>
            <color indexed="81"/>
            <rFont val="Tahoma"/>
            <family val="2"/>
          </rPr>
          <t>Gutz:</t>
        </r>
        <r>
          <rPr>
            <sz val="8"/>
            <color indexed="81"/>
            <rFont val="Tahoma"/>
            <family val="2"/>
          </rPr>
          <t xml:space="preserve">
</t>
        </r>
        <r>
          <rPr>
            <sz val="10"/>
            <color indexed="81"/>
            <rFont val="Tahoma"/>
            <family val="2"/>
          </rPr>
          <t>Residue (difference) of the total H</t>
        </r>
        <r>
          <rPr>
            <vertAlign val="superscript"/>
            <sz val="10"/>
            <color indexed="81"/>
            <rFont val="Tahoma"/>
            <family val="2"/>
          </rPr>
          <t>+</t>
        </r>
        <r>
          <rPr>
            <sz val="10"/>
            <color indexed="81"/>
            <rFont val="Tahoma"/>
            <family val="2"/>
          </rPr>
          <t xml:space="preserve"> concentration fitted with the Solver (column H) and  the calculated one by the general equation (column I).</t>
        </r>
      </text>
    </comment>
    <comment ref="I39" authorId="1">
      <text>
        <r>
          <rPr>
            <b/>
            <sz val="8"/>
            <color indexed="81"/>
            <rFont val="Tahoma"/>
            <family val="2"/>
          </rPr>
          <t>Gutz:</t>
        </r>
        <r>
          <rPr>
            <sz val="8"/>
            <color indexed="81"/>
            <rFont val="Tahoma"/>
            <family val="2"/>
          </rPr>
          <t xml:space="preserve">
</t>
        </r>
        <r>
          <rPr>
            <sz val="10"/>
            <color indexed="81"/>
            <rFont val="Tahoma"/>
            <family val="2"/>
          </rPr>
          <t>Value of the H</t>
        </r>
        <r>
          <rPr>
            <vertAlign val="superscript"/>
            <sz val="10"/>
            <color indexed="81"/>
            <rFont val="Tahoma"/>
            <family val="2"/>
          </rPr>
          <t>+</t>
        </r>
        <r>
          <rPr>
            <sz val="10"/>
            <color indexed="81"/>
            <rFont val="Tahoma"/>
            <family val="2"/>
          </rPr>
          <t xml:space="preserve"> concentration in the titrand + titrant solution obtained by using the variable cells  fitted by the Solver.</t>
        </r>
      </text>
    </comment>
    <comment ref="J39" authorId="1">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required to satisfy all protonation equilibria in the titrand + titrant solution  at the pH of column B, using the general equation, the concentrations of line 11 and the pKas given or under refinement.</t>
        </r>
      </text>
    </comment>
    <comment ref="K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the sample (+water), the factor is 0.5
</t>
        </r>
      </text>
    </comment>
    <comment ref="L39" authorId="1">
      <text>
        <r>
          <rPr>
            <b/>
            <sz val="8"/>
            <color indexed="81"/>
            <rFont val="Tahoma"/>
            <family val="2"/>
          </rPr>
          <t>Gutz:</t>
        </r>
        <r>
          <rPr>
            <sz val="8"/>
            <color indexed="81"/>
            <rFont val="Tahoma"/>
            <family val="2"/>
          </rPr>
          <t xml:space="preserve">
</t>
        </r>
        <r>
          <rPr>
            <sz val="10"/>
            <color indexed="81"/>
            <rFont val="Tahoma"/>
            <family val="2"/>
          </rPr>
          <t>Dilution factor of the sample (plus dilution water F16, if any) that results from the addition of titrant at each point of the titration.</t>
        </r>
      </text>
    </comment>
    <comment ref="M39" authorId="1">
      <text>
        <r>
          <rPr>
            <b/>
            <sz val="8"/>
            <color indexed="81"/>
            <rFont val="Tahoma"/>
            <family val="2"/>
          </rPr>
          <t>Gutz:</t>
        </r>
        <r>
          <rPr>
            <sz val="8"/>
            <color indexed="81"/>
            <rFont val="Tahoma"/>
            <family val="2"/>
          </rPr>
          <t xml:space="preserve">
</t>
        </r>
        <r>
          <rPr>
            <sz val="12"/>
            <color indexed="81"/>
            <rFont val="Symbol"/>
            <family val="1"/>
            <charset val="2"/>
          </rPr>
          <t>Sb</t>
        </r>
        <r>
          <rPr>
            <sz val="10"/>
            <color indexed="81"/>
            <rFont val="Tahoma"/>
            <family val="2"/>
          </rPr>
          <t>p</t>
        </r>
        <r>
          <rPr>
            <vertAlign val="subscript"/>
            <sz val="12"/>
            <color indexed="81"/>
            <rFont val="Tahoma"/>
            <family val="2"/>
          </rPr>
          <t xml:space="preserve">i </t>
        </r>
        <r>
          <rPr>
            <sz val="10"/>
            <color indexed="81"/>
            <rFont val="Tahoma"/>
            <family val="2"/>
          </rPr>
          <t>[H]</t>
        </r>
        <r>
          <rPr>
            <vertAlign val="superscript"/>
            <sz val="12"/>
            <color indexed="81"/>
            <rFont val="Tahoma"/>
            <family val="2"/>
          </rPr>
          <t>i</t>
        </r>
        <r>
          <rPr>
            <sz val="10"/>
            <color indexed="81"/>
            <rFont val="Tahoma"/>
            <family val="2"/>
          </rPr>
          <t>, the denominator of the expressions for the calculation of the average protonation number, h, and the species distribution coefficients.</t>
        </r>
      </text>
    </comment>
    <comment ref="W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AQ39" authorId="4">
      <text>
        <r>
          <rPr>
            <b/>
            <sz val="8"/>
            <color indexed="81"/>
            <rFont val="Tahoma"/>
            <family val="2"/>
          </rPr>
          <t>Gutz:</t>
        </r>
        <r>
          <rPr>
            <sz val="8"/>
            <color indexed="81"/>
            <rFont val="Tahoma"/>
            <family val="2"/>
          </rPr>
          <t xml:space="preserve">
</t>
        </r>
        <r>
          <rPr>
            <sz val="10"/>
            <color indexed="81"/>
            <rFont val="Tahoma"/>
            <family val="2"/>
          </rPr>
          <t xml:space="preserve">Partial ionic strength </t>
        </r>
        <r>
          <rPr>
            <b/>
            <sz val="10"/>
            <color indexed="81"/>
            <rFont val="Tahoma"/>
            <family val="2"/>
          </rPr>
          <t>I</t>
        </r>
        <r>
          <rPr>
            <sz val="10"/>
            <color indexed="81"/>
            <rFont val="Tahoma"/>
            <family val="2"/>
          </rPr>
          <t xml:space="preserve"> includes the contribution from ionic species of all protonation equilibria as well as the concentrations of dissociated H</t>
        </r>
        <r>
          <rPr>
            <vertAlign val="superscript"/>
            <sz val="10"/>
            <color indexed="81"/>
            <rFont val="Tahoma"/>
            <family val="2"/>
          </rPr>
          <t>+</t>
        </r>
        <r>
          <rPr>
            <sz val="10"/>
            <color indexed="81"/>
            <rFont val="Tahoma"/>
            <family val="2"/>
          </rPr>
          <t xml:space="preserve"> and OH</t>
        </r>
        <r>
          <rPr>
            <vertAlign val="superscript"/>
            <sz val="10"/>
            <color indexed="81"/>
            <rFont val="Tahoma"/>
            <family val="2"/>
          </rPr>
          <t>-</t>
        </r>
        <r>
          <rPr>
            <sz val="10"/>
            <color indexed="81"/>
            <rFont val="Tahoma"/>
            <family val="2"/>
          </rPr>
          <t xml:space="preserve">. Counterions and other strong electrolytes indicated in S12 to T13 are added in the next column.
</t>
        </r>
      </text>
    </comment>
    <comment ref="AR39" authorId="4">
      <text>
        <r>
          <rPr>
            <b/>
            <sz val="8"/>
            <color indexed="81"/>
            <rFont val="Tahoma"/>
            <family val="2"/>
          </rPr>
          <t>Gutz:</t>
        </r>
        <r>
          <rPr>
            <sz val="8"/>
            <color indexed="81"/>
            <rFont val="Tahoma"/>
            <family val="2"/>
          </rPr>
          <t xml:space="preserve">
</t>
        </r>
        <r>
          <rPr>
            <sz val="10"/>
            <color indexed="81"/>
            <rFont val="Tahoma"/>
            <family val="2"/>
          </rPr>
          <t xml:space="preserve">The total ionic strength </t>
        </r>
        <r>
          <rPr>
            <b/>
            <sz val="10"/>
            <color indexed="81"/>
            <rFont val="Tahoma"/>
            <family val="2"/>
          </rPr>
          <t>I</t>
        </r>
        <r>
          <rPr>
            <sz val="10"/>
            <color indexed="81"/>
            <rFont val="Tahoma"/>
            <family val="2"/>
          </rPr>
          <t xml:space="preserve"> corresponds to </t>
        </r>
        <r>
          <rPr>
            <b/>
            <sz val="10"/>
            <color indexed="81"/>
            <rFont val="Tahoma"/>
            <family val="2"/>
          </rPr>
          <t>I</t>
        </r>
        <r>
          <rPr>
            <sz val="10"/>
            <color indexed="81"/>
            <rFont val="Tahoma"/>
            <family val="2"/>
          </rPr>
          <t xml:space="preserve"> partial (column AQ) plus the minimum concentration of counterions needed for electroneutrality of acids and bases in the sample and titrant plus contribution of other strong electrolytes indicated in S12 to T13, if any.</t>
        </r>
      </text>
    </comment>
    <comment ref="AT39"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column AR, based on  the last regression results.</t>
        </r>
      </text>
    </comment>
    <comment ref="AU39" authorId="0">
      <text>
        <r>
          <rPr>
            <b/>
            <sz val="8"/>
            <color indexed="81"/>
            <rFont val="Tahoma"/>
            <family val="2"/>
          </rPr>
          <t>Gutz:</t>
        </r>
        <r>
          <rPr>
            <sz val="8"/>
            <color indexed="81"/>
            <rFont val="Tahoma"/>
            <family val="2"/>
          </rPr>
          <t xml:space="preserve">
</t>
        </r>
        <r>
          <rPr>
            <sz val="10"/>
            <color indexed="81"/>
            <rFont val="Tahoma"/>
            <family val="2"/>
          </rPr>
          <t>Activity coefficient estimated made with the Davies equation at ionic strength I. Uncertainties are discussed in cells A23, D26 and  K15 of pH_calc</t>
        </r>
      </text>
    </comment>
    <comment ref="AX39" authorId="0">
      <text>
        <r>
          <rPr>
            <b/>
            <sz val="9"/>
            <color indexed="81"/>
            <rFont val="Segoe UI"/>
            <family val="2"/>
          </rPr>
          <t>Gutz:</t>
        </r>
        <r>
          <rPr>
            <sz val="9"/>
            <color indexed="81"/>
            <rFont val="Segoe UI"/>
            <family val="2"/>
          </rPr>
          <t xml:space="preserve">
O</t>
        </r>
        <r>
          <rPr>
            <sz val="10"/>
            <color indexed="81"/>
            <rFont val="Segoe UI"/>
            <family val="2"/>
          </rPr>
          <t>utliers and dubious data can be reversibly ommited from the regression by marking with na X the corresponding cells in column AX.</t>
        </r>
      </text>
    </comment>
    <comment ref="D41" authorId="1">
      <text>
        <r>
          <rPr>
            <b/>
            <sz val="8"/>
            <color indexed="81"/>
            <rFont val="Tahoma"/>
            <family val="2"/>
          </rPr>
          <t>Gutz:</t>
        </r>
        <r>
          <rPr>
            <sz val="8"/>
            <color indexed="81"/>
            <rFont val="Tahoma"/>
            <family val="2"/>
          </rPr>
          <t xml:space="preserve">
</t>
        </r>
        <r>
          <rPr>
            <sz val="10"/>
            <color indexed="81"/>
            <rFont val="Tahoma"/>
            <family val="2"/>
          </rPr>
          <t>Do NOT write in this colored region! You will corrupt the equations.</t>
        </r>
      </text>
    </comment>
  </commentList>
</comments>
</file>

<file path=xl/comments8.xml><?xml version="1.0" encoding="utf-8"?>
<comments xmlns="http://schemas.openxmlformats.org/spreadsheetml/2006/main">
  <authors>
    <author>Gutz</author>
    <author>Ivano Gebhardt Rolf Gutz</author>
  </authors>
  <commentList>
    <comment ref="O3" authorId="0">
      <text>
        <r>
          <rPr>
            <b/>
            <sz val="8"/>
            <color indexed="81"/>
            <rFont val="Tahoma"/>
            <family val="2"/>
          </rPr>
          <t>Gutz:</t>
        </r>
        <r>
          <rPr>
            <sz val="8"/>
            <color indexed="81"/>
            <rFont val="Tahoma"/>
            <family val="2"/>
          </rPr>
          <t xml:space="preserve">
</t>
        </r>
        <r>
          <rPr>
            <sz val="10"/>
            <color indexed="81"/>
            <rFont val="Tahoma"/>
            <family val="2"/>
          </rPr>
          <t>Uncheck and check a curve again to update it.</t>
        </r>
      </text>
    </comment>
    <comment ref="L4"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4" authorId="1">
      <text>
        <r>
          <rPr>
            <b/>
            <sz val="8"/>
            <color indexed="81"/>
            <rFont val="Tahoma"/>
            <family val="2"/>
          </rPr>
          <t>Gutz:</t>
        </r>
        <r>
          <rPr>
            <sz val="8"/>
            <color indexed="81"/>
            <rFont val="Tahoma"/>
            <family val="2"/>
          </rPr>
          <t xml:space="preserve">
</t>
        </r>
        <r>
          <rPr>
            <sz val="10"/>
            <color indexed="81"/>
            <rFont val="Tahoma"/>
            <family val="2"/>
          </rPr>
          <t>Click once on the graphic area, hover the mouse on any data point to readout its ID and coordinates.</t>
        </r>
      </text>
    </comment>
    <comment ref="L5"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or Excel) without links to the original:
- Fill out the header of the graphic;
- Click in the box of the graphic near the margins, to select it;
- (only for Excel older than version 12 from 2007: replot at least one curve - uncheck / check again);
- Press Ctrl+C and wait processing; 
- Switch to the Word (Excel) document; 
- Select Insert/Paste Special/Picture (enhanced metafile).</t>
        </r>
      </text>
    </comment>
  </commentList>
</comments>
</file>

<file path=xl/comments9.xml><?xml version="1.0" encoding="utf-8"?>
<comments xmlns="http://schemas.openxmlformats.org/spreadsheetml/2006/main">
  <authors>
    <author>Gutz</author>
    <author>GPQAI-51</author>
    <author>gtz</author>
  </authors>
  <commentList>
    <comment ref="A3" authorId="0">
      <text>
        <r>
          <rPr>
            <b/>
            <sz val="8"/>
            <color indexed="81"/>
            <rFont val="Tahoma"/>
            <family val="2"/>
          </rPr>
          <t>Gutz:</t>
        </r>
        <r>
          <rPr>
            <sz val="8"/>
            <color indexed="81"/>
            <rFont val="Tahoma"/>
            <family val="2"/>
          </rPr>
          <t xml:space="preserve">
</t>
        </r>
        <r>
          <rPr>
            <sz val="10"/>
            <color indexed="81"/>
            <rFont val="Tahoma"/>
            <family val="2"/>
          </rPr>
          <t>Gray or red numbers denote knowingly uncertain pKas; the number of decimal places is indicative of precision, but  values may be wrong or inaccurate; for many systems, the "constants" vary from  author to author or depend of the  experimental technique used to study the equilibria. For other systems, no reliable determination is available.</t>
        </r>
      </text>
    </comment>
    <comment ref="A5" authorId="0">
      <text>
        <r>
          <rPr>
            <b/>
            <sz val="8"/>
            <color indexed="81"/>
            <rFont val="Tahoma"/>
            <family val="2"/>
          </rPr>
          <t>Gutz:</t>
        </r>
        <r>
          <rPr>
            <sz val="8"/>
            <color indexed="81"/>
            <rFont val="Tahoma"/>
            <family val="2"/>
          </rPr>
          <t xml:space="preserve">
</t>
        </r>
        <r>
          <rPr>
            <sz val="10"/>
            <color indexed="81"/>
            <rFont val="Tahoma"/>
            <family val="2"/>
          </rPr>
          <t>Some extensive compilations of equilibrium constants present protonation constants (or their logarithms) instead of dissociation constants. The conversion is straightforward as shown in cells M12-M18.</t>
        </r>
      </text>
    </comment>
    <comment ref="H6" authorId="1">
      <text>
        <r>
          <rPr>
            <b/>
            <sz val="8"/>
            <color indexed="81"/>
            <rFont val="Tahoma"/>
            <family val="2"/>
          </rPr>
          <t>Gutz</t>
        </r>
        <r>
          <rPr>
            <sz val="8"/>
            <color indexed="81"/>
            <rFont val="Tahoma"/>
            <family val="2"/>
          </rPr>
          <t xml:space="preserve">
</t>
        </r>
        <r>
          <rPr>
            <sz val="10"/>
            <color indexed="81"/>
            <rFont val="Tahoma"/>
            <family val="2"/>
          </rPr>
          <t xml:space="preserve">A </t>
        </r>
        <r>
          <rPr>
            <u/>
            <sz val="10"/>
            <color indexed="81"/>
            <rFont val="Tahoma"/>
            <family val="2"/>
          </rPr>
          <t>free</t>
        </r>
        <r>
          <rPr>
            <sz val="10"/>
            <color indexed="81"/>
            <rFont val="Tahoma"/>
            <family val="2"/>
          </rPr>
          <t xml:space="preserve"> subset of this Database, MiniSC-Database, with &gt;2900 protonation constants (mostly at 25ºC and I=0.1 mol/L) can be downloaded from the site http://www.acadsoft.co.uk/scdbase/scdbase.htm  
You may use Excel (instead of the software) to open the file Ligef32m.dbf (inside the Minquery folder of SCDBase), search for a base (or acid) by name; if you find it and the column COUNT_H shows a 1, pKas are available; subtract one from the spreadsheet </t>
        </r>
        <r>
          <rPr>
            <u/>
            <sz val="10"/>
            <color indexed="81"/>
            <rFont val="Tahoma"/>
            <family val="2"/>
          </rPr>
          <t>line counter number</t>
        </r>
        <r>
          <rPr>
            <sz val="10"/>
            <color indexed="81"/>
            <rFont val="Tahoma"/>
            <family val="2"/>
          </rPr>
          <t xml:space="preserve"> (leftmost column)  and you have the Ligand ID number (=line counter number - 1). 
Open the data file EXPT32M.DBF with Excel; look for the Ligand ID number in column A (named LIGAND_ID); chose the line with a 0 in column B (named METALNUM); find logKp1 in column F; logKp2 in G; skip H; logKp3 in I, etc. 
To convert logKp into pKa, read cell M12.</t>
        </r>
      </text>
    </comment>
    <comment ref="G9" authorId="1">
      <text>
        <r>
          <rPr>
            <b/>
            <sz val="8"/>
            <color indexed="81"/>
            <rFont val="Tahoma"/>
            <family val="2"/>
          </rPr>
          <t xml:space="preserve">Gutz:
</t>
        </r>
        <r>
          <rPr>
            <sz val="10"/>
            <color indexed="81"/>
            <rFont val="Tahoma"/>
            <family val="2"/>
          </rPr>
          <t>The pKa's output by Chemicalize are obtained by calculation  and may depart from real ones. Check tem against experimentally determined ones whenever available.</t>
        </r>
        <r>
          <rPr>
            <b/>
            <sz val="8"/>
            <color indexed="81"/>
            <rFont val="Tahoma"/>
            <family val="2"/>
          </rPr>
          <t xml:space="preserve">
</t>
        </r>
        <r>
          <rPr>
            <sz val="10"/>
            <color indexed="81"/>
            <rFont val="Tahoma"/>
            <family val="2"/>
          </rPr>
          <t>Fill out the name of the acid or base (or the CAS # or SMILES);Click Properties Viewer.
 On the results page, click Manage calculations; click pKa. The pKa values will appear together with the structural formula of the molecule (in a box at the right).</t>
        </r>
      </text>
    </comment>
    <comment ref="L15" authorId="0">
      <text>
        <r>
          <rPr>
            <b/>
            <sz val="8"/>
            <color indexed="81"/>
            <rFont val="Tahoma"/>
            <family val="2"/>
          </rPr>
          <t>Gutz:</t>
        </r>
        <r>
          <rPr>
            <sz val="8"/>
            <color indexed="81"/>
            <rFont val="Tahoma"/>
            <family val="2"/>
          </rPr>
          <t xml:space="preserve">
</t>
        </r>
        <r>
          <rPr>
            <sz val="10"/>
            <color indexed="81"/>
            <rFont val="Tahoma"/>
            <family val="2"/>
          </rPr>
          <t xml:space="preserve">Protonation constants, Kp, (or global protonation constants, </t>
        </r>
        <r>
          <rPr>
            <sz val="10"/>
            <color indexed="81"/>
            <rFont val="Symbol"/>
            <family val="1"/>
            <charset val="2"/>
          </rPr>
          <t>b</t>
        </r>
        <r>
          <rPr>
            <sz val="10"/>
            <color indexed="81"/>
            <rFont val="Tahoma"/>
            <family val="2"/>
          </rPr>
          <t>p) are preferred in the most extensive compilations of equilibrium constants, e.g., Critical Stability Constants, Vol. 1–4 because the equations become unified with those used for metal-ligand-proton equilibria, based on formation (instead of dissociation) constants.
Note that pKa = logKp for a monoprotic acid (because Kp = 1/Kd or pKd = 1/logKd ) and, for multiprotic systems, the first logKp is the last pKa.
The index n in Kpn  is the maximum number protons accepted by the most deprotonated form of a (conjugated) base.</t>
        </r>
      </text>
    </comment>
    <comment ref="E16" authorId="2">
      <text>
        <r>
          <rPr>
            <b/>
            <sz val="9"/>
            <color indexed="81"/>
            <rFont val="Tahoma"/>
            <family val="2"/>
          </rPr>
          <t>Gutz:</t>
        </r>
        <r>
          <rPr>
            <sz val="9"/>
            <color indexed="81"/>
            <rFont val="Tahoma"/>
            <family val="2"/>
          </rPr>
          <t xml:space="preserve">
</t>
        </r>
        <r>
          <rPr>
            <sz val="10"/>
            <color indexed="81"/>
            <rFont val="Tahoma"/>
            <family val="2"/>
          </rPr>
          <t>There are a few examples of visual indicators in this database, starting at line 255, for use with the Titration module. 
More examples:
http://en.wikipedia.org/wiki/PH_indicator
http://antoine.frostburg.edu/chem/senese/101/acidbase/indicators.shtml
Books:
I. M. Kolthoff, Acid Base Indicators, MacMillan, NY, 1937 
https://archive.org/details/acidbaseindicato030701mbp free download:
https://ia600508.us.archive.org/3/items/acidbaseindicato030701mbp/acidbaseindicato030701mbp.pdf
R . W . Sabnis, Handbook of Acid-Base Indicators
CRC Press 2007Print ISBN: 978-0-8493-8218-5; eBook ISBN: 978-0-8493-8219-2
http://www.crcnetbase.com/isbn/9780849382185</t>
        </r>
      </text>
    </comment>
    <comment ref="E17" authorId="1">
      <text>
        <r>
          <rPr>
            <b/>
            <sz val="8"/>
            <color indexed="81"/>
            <rFont val="Tahoma"/>
            <family val="2"/>
          </rPr>
          <t>Gutz:</t>
        </r>
        <r>
          <rPr>
            <sz val="8"/>
            <color indexed="81"/>
            <rFont val="Tahoma"/>
            <family val="2"/>
          </rPr>
          <t xml:space="preserve">
</t>
        </r>
        <r>
          <rPr>
            <sz val="10"/>
            <color indexed="81"/>
            <rFont val="Tahoma"/>
            <family val="2"/>
          </rPr>
          <t>Activity coefficient estimation: an appreciation of 20 equations:  Ionic St_effects.pdf in the package: http://www.iupac.org/projects/2000/Aq_Solutions.zip</t>
        </r>
      </text>
    </comment>
    <comment ref="D19" authorId="0">
      <text>
        <r>
          <rPr>
            <b/>
            <sz val="8"/>
            <color indexed="81"/>
            <rFont val="Tahoma"/>
            <family val="2"/>
          </rPr>
          <t>Gutz:</t>
        </r>
        <r>
          <rPr>
            <sz val="8"/>
            <color indexed="81"/>
            <rFont val="Tahoma"/>
            <family val="2"/>
          </rPr>
          <t xml:space="preserve">
</t>
        </r>
        <r>
          <rPr>
            <sz val="10"/>
            <color indexed="81"/>
            <rFont val="Tahoma"/>
            <family val="2"/>
          </rPr>
          <t>Charge of the most deprotonated (dissociated) form of the (conjugated) base considered in the equilibria of an acid-base system for the constants given.</t>
        </r>
      </text>
    </comment>
    <comment ref="N19" authorId="0">
      <text>
        <r>
          <rPr>
            <b/>
            <sz val="8"/>
            <color indexed="81"/>
            <rFont val="Tahoma"/>
            <family val="2"/>
          </rPr>
          <t>Gutz:</t>
        </r>
        <r>
          <rPr>
            <sz val="8"/>
            <color indexed="81"/>
            <rFont val="Tahoma"/>
            <family val="2"/>
          </rPr>
          <t xml:space="preserve">
</t>
        </r>
        <r>
          <rPr>
            <sz val="10"/>
            <color indexed="81"/>
            <rFont val="Tahoma"/>
            <family val="2"/>
          </rPr>
          <t>Molecular weight calculator Java Applet:
http://www.ch.cam.ac.uk/magnus/MolWeight.html</t>
        </r>
      </text>
    </comment>
    <comment ref="E20" authorId="0">
      <text>
        <r>
          <rPr>
            <b/>
            <sz val="8"/>
            <color indexed="81"/>
            <rFont val="Tahoma"/>
            <family val="2"/>
          </rPr>
          <t>Gutz:</t>
        </r>
        <r>
          <rPr>
            <sz val="8"/>
            <color indexed="81"/>
            <rFont val="Tahoma"/>
            <family val="2"/>
          </rPr>
          <t xml:space="preserve">
</t>
        </r>
        <r>
          <rPr>
            <sz val="10"/>
            <color indexed="81"/>
            <rFont val="Tahoma"/>
            <family val="2"/>
          </rPr>
          <t>Uncertain pKa values are displayed in gray; 
very uncertain values, in red.</t>
        </r>
      </text>
    </comment>
    <comment ref="M20" authorId="0">
      <text>
        <r>
          <rPr>
            <b/>
            <sz val="8"/>
            <color indexed="81"/>
            <rFont val="Tahoma"/>
            <family val="2"/>
          </rPr>
          <t>Gutz:</t>
        </r>
        <r>
          <rPr>
            <sz val="8"/>
            <color indexed="81"/>
            <rFont val="Tahoma"/>
            <family val="2"/>
          </rPr>
          <t xml:space="preserve">
</t>
        </r>
        <r>
          <rPr>
            <sz val="10"/>
            <color indexed="81"/>
            <rFont val="Tahoma"/>
            <family val="2"/>
          </rPr>
          <t xml:space="preserve">The structural formula of most of the acids and bases listed here can be found in the Wikipedia,
</t>
        </r>
        <r>
          <rPr>
            <sz val="10"/>
            <color indexed="12"/>
            <rFont val="Tahoma"/>
            <family val="2"/>
          </rPr>
          <t>en.wikipedia.org</t>
        </r>
      </text>
    </comment>
    <comment ref="C2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24" authorId="0">
      <text>
        <r>
          <rPr>
            <b/>
            <sz val="8"/>
            <color indexed="81"/>
            <rFont val="Tahoma"/>
            <family val="2"/>
          </rPr>
          <t>Gutz:</t>
        </r>
        <r>
          <rPr>
            <sz val="8"/>
            <color indexed="81"/>
            <rFont val="Tahoma"/>
            <family val="2"/>
          </rPr>
          <t xml:space="preserve">
</t>
        </r>
        <r>
          <rPr>
            <sz val="10"/>
            <color indexed="81"/>
            <rFont val="Tahoma"/>
            <family val="2"/>
          </rPr>
          <t>This is the apparent pKa. By considering that only a part of the dissolved CO2 is converted in H2CO3 and part remains as CO2(aq), the "true" pKa would be 3.58</t>
        </r>
      </text>
    </comment>
    <comment ref="E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B28"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5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B62" authorId="0">
      <text>
        <r>
          <rPr>
            <b/>
            <sz val="9"/>
            <color indexed="81"/>
            <rFont val="Segoe UI"/>
            <family val="2"/>
          </rPr>
          <t>Gutz:</t>
        </r>
        <r>
          <rPr>
            <sz val="9"/>
            <color indexed="81"/>
            <rFont val="Segoe UI"/>
            <family val="2"/>
          </rPr>
          <t xml:space="preserve">
Dissolution of sodium tetraborate (Na2B4O7·10H2O or Na2[B4O5(OH)4]·8H2O, 381.38) in water results in 2H3BO3 + 2H2BO3-</t>
        </r>
      </text>
    </comment>
    <comment ref="C69"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69"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8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3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3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E138"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162"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0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26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D275" authorId="1">
      <text>
        <r>
          <rPr>
            <b/>
            <sz val="8"/>
            <color indexed="81"/>
            <rFont val="Tahoma"/>
            <family val="2"/>
          </rPr>
          <t>Gutz</t>
        </r>
        <r>
          <rPr>
            <sz val="8"/>
            <color indexed="81"/>
            <rFont val="Tahoma"/>
            <family val="2"/>
          </rPr>
          <t xml:space="preserve">
</t>
        </r>
        <r>
          <rPr>
            <sz val="10"/>
            <color indexed="81"/>
            <rFont val="Tahoma"/>
            <family val="2"/>
          </rPr>
          <t>More examples of indicators:
http://en.wikipedia.org/wiki/PH_indicator
http://antoine.frostburg.edu/chem/senese/101/acidbase/indicators.shtml</t>
        </r>
      </text>
    </comment>
    <comment ref="W275" authorId="2">
      <text>
        <r>
          <rPr>
            <b/>
            <sz val="9"/>
            <color indexed="81"/>
            <rFont val="Tahoma"/>
            <family val="2"/>
          </rPr>
          <t>Gutz:</t>
        </r>
        <r>
          <rPr>
            <sz val="9"/>
            <color indexed="81"/>
            <rFont val="Tahoma"/>
            <family val="2"/>
          </rPr>
          <t xml:space="preserve">
</t>
        </r>
        <r>
          <rPr>
            <sz val="10"/>
            <color indexed="81"/>
            <rFont val="Tahoma"/>
            <family val="2"/>
          </rPr>
          <t>Some more colors to experiment, by replacing numbers in columns P, Q or R. 
Color number = R*G*B</t>
        </r>
      </text>
    </comment>
    <comment ref="E283" authorId="1">
      <text>
        <r>
          <rPr>
            <b/>
            <sz val="8"/>
            <color indexed="81"/>
            <rFont val="Tahoma"/>
            <family val="2"/>
          </rPr>
          <t>Gutz:</t>
        </r>
        <r>
          <rPr>
            <sz val="8"/>
            <color indexed="81"/>
            <rFont val="Tahoma"/>
            <family val="2"/>
          </rPr>
          <t xml:space="preserve">
</t>
        </r>
        <r>
          <rPr>
            <sz val="10"/>
            <color indexed="81"/>
            <rFont val="Tahoma"/>
            <family val="2"/>
          </rPr>
          <t>K1 =1,5 10-10; K2=2,82 10-10 
L. Rosenstein: J. Am. Chem. Soc., 34, 1117 (1912). (structure of the dianion appears in Wikipedia)</t>
        </r>
      </text>
    </comment>
    <comment ref="C302" authorId="1">
      <text>
        <r>
          <rPr>
            <b/>
            <sz val="8"/>
            <color indexed="81"/>
            <rFont val="Tahoma"/>
            <family val="2"/>
          </rPr>
          <t>Gutz:</t>
        </r>
        <r>
          <rPr>
            <sz val="8"/>
            <color indexed="81"/>
            <rFont val="Tahoma"/>
            <family val="2"/>
          </rPr>
          <t xml:space="preserve">
</t>
        </r>
        <r>
          <rPr>
            <sz val="10"/>
            <color indexed="81"/>
            <rFont val="Tahoma"/>
            <family val="2"/>
          </rPr>
          <t>The author can provide a copy with more lines loadable in the other modules.</t>
        </r>
      </text>
    </comment>
  </commentList>
</comments>
</file>

<file path=xl/sharedStrings.xml><?xml version="1.0" encoding="utf-8"?>
<sst xmlns="http://schemas.openxmlformats.org/spreadsheetml/2006/main" count="1836" uniqueCount="1169">
  <si>
    <r>
      <t xml:space="preserve"> pKa</t>
    </r>
    <r>
      <rPr>
        <sz val="11"/>
        <rFont val="Arial"/>
        <family val="2"/>
      </rPr>
      <t>s</t>
    </r>
    <r>
      <rPr>
        <sz val="11"/>
        <color indexed="10"/>
        <rFont val="Arial"/>
        <family val="2"/>
      </rPr>
      <t xml:space="preserve"> </t>
    </r>
    <r>
      <rPr>
        <b/>
        <sz val="11"/>
        <rFont val="Arial"/>
        <family val="2"/>
      </rPr>
      <t>of the acids and bases in the solution</t>
    </r>
  </si>
  <si>
    <r>
      <t xml:space="preserve">          Overall protonation constants = </t>
    </r>
    <r>
      <rPr>
        <b/>
        <sz val="11"/>
        <rFont val="Symbol"/>
        <family val="1"/>
        <charset val="2"/>
      </rPr>
      <t>b</t>
    </r>
    <r>
      <rPr>
        <b/>
        <sz val="11"/>
        <rFont val="Arial"/>
        <family val="2"/>
      </rPr>
      <t xml:space="preserve">p = </t>
    </r>
    <r>
      <rPr>
        <b/>
        <sz val="11"/>
        <rFont val="Symbol"/>
        <family val="1"/>
        <charset val="2"/>
      </rPr>
      <t>P</t>
    </r>
    <r>
      <rPr>
        <b/>
        <sz val="11"/>
        <rFont val="Arial"/>
        <family val="2"/>
      </rPr>
      <t xml:space="preserve">Kp </t>
    </r>
    <r>
      <rPr>
        <sz val="11"/>
        <rFont val="Arial"/>
        <family val="2"/>
      </rPr>
      <t>(calculated by the program)</t>
    </r>
  </si>
  <si>
    <t>How to change the axis of a curve</t>
  </si>
  <si>
    <t>Data ID on curves</t>
  </si>
  <si>
    <t>How to copy/paste a curve</t>
  </si>
  <si>
    <t xml:space="preserve">       Source of data to plot/overlay</t>
  </si>
  <si>
    <t>Simulation</t>
  </si>
  <si>
    <t>Simulation with dispersion (random errors)</t>
  </si>
  <si>
    <t>Evaluation</t>
  </si>
  <si>
    <t>Evaluation with smoothing/interpolation</t>
  </si>
  <si>
    <t>Regression raw data</t>
  </si>
  <si>
    <t>Regression fitted curve</t>
  </si>
  <si>
    <t xml:space="preserve">Titration curves and first derivatives overlay </t>
  </si>
  <si>
    <r>
      <t>Dr. Ivano Gebhardt Rolf Gutz</t>
    </r>
    <r>
      <rPr>
        <sz val="12"/>
        <rFont val="Arial"/>
        <family val="2"/>
      </rPr>
      <t xml:space="preserve"> -  Full Professor (since 1992)</t>
    </r>
  </si>
  <si>
    <t>Instituto de Química - Universidade de São Paulo, São Paulo, SP, Brazil</t>
  </si>
  <si>
    <t>Honored with the National Order of Scientific Merit, Brazil, 2007</t>
  </si>
  <si>
    <t xml:space="preserve">  Results at chemical equilibrium</t>
  </si>
  <si>
    <t>Acid / Base protonation</t>
  </si>
  <si>
    <r>
      <t xml:space="preserve"> Equilibrium concentration of species</t>
    </r>
    <r>
      <rPr>
        <sz val="11"/>
        <rFont val="Arial"/>
        <family val="2"/>
      </rPr>
      <t>, in mol/L</t>
    </r>
  </si>
  <si>
    <r>
      <t xml:space="preserve"> Species distribution </t>
    </r>
    <r>
      <rPr>
        <sz val="11"/>
        <rFont val="Arial"/>
        <family val="2"/>
      </rPr>
      <t>(fractional composition, in %)</t>
    </r>
  </si>
  <si>
    <r>
      <t xml:space="preserve"> Activity coefficient </t>
    </r>
    <r>
      <rPr>
        <sz val="11"/>
        <rFont val="Arial"/>
        <family val="2"/>
      </rPr>
      <t>(</t>
    </r>
    <r>
      <rPr>
        <sz val="11"/>
        <rFont val="Symbol"/>
        <family val="1"/>
        <charset val="2"/>
      </rPr>
      <t>g</t>
    </r>
    <r>
      <rPr>
        <sz val="11"/>
        <rFont val="Arial"/>
        <family val="2"/>
      </rPr>
      <t>)</t>
    </r>
    <r>
      <rPr>
        <b/>
        <sz val="11"/>
        <rFont val="Arial"/>
        <family val="2"/>
      </rPr>
      <t xml:space="preserve"> of species</t>
    </r>
  </si>
  <si>
    <t>Acid / Base  protonation</t>
  </si>
  <si>
    <t xml:space="preserve">                Database of dissociation constants of acids / protonation constants of bases</t>
  </si>
  <si>
    <t>Dissociation constants of organic compounds (~600 compounds)</t>
  </si>
  <si>
    <t>Temperature dependence of potassium hydrogen phtalate 0.05 mol/kg buffer</t>
  </si>
  <si>
    <t>Charge, fully</t>
  </si>
  <si>
    <t>Ionic</t>
  </si>
  <si>
    <t>deprotonated</t>
  </si>
  <si>
    <t>strength</t>
  </si>
  <si>
    <t xml:space="preserve">F R E Q U E N T L Y    U S E D </t>
  </si>
  <si>
    <t xml:space="preserve">A L P H A B E T I C   O R D E R </t>
  </si>
  <si>
    <t xml:space="preserve">   Insert new lines anywere to add more systems; renumber column B</t>
  </si>
  <si>
    <t>Find more values in the references and links</t>
  </si>
  <si>
    <t>CHtot =</t>
  </si>
  <si>
    <t>"pH"</t>
  </si>
  <si>
    <t xml:space="preserve">C6H6O3S </t>
  </si>
  <si>
    <t xml:space="preserve">Benzenesulfonic acid </t>
  </si>
  <si>
    <t xml:space="preserve">C6H7N </t>
  </si>
  <si>
    <t xml:space="preserve">2-Methylpyridine </t>
  </si>
  <si>
    <t xml:space="preserve">3-Methylpyridine </t>
  </si>
  <si>
    <t xml:space="preserve">4-Methylpyridine </t>
  </si>
  <si>
    <t xml:space="preserve">C6H8O6 </t>
  </si>
  <si>
    <t xml:space="preserve">Ascorbic acid </t>
  </si>
  <si>
    <t xml:space="preserve">C6H8O7 </t>
  </si>
  <si>
    <t xml:space="preserve">Isocitric acid </t>
  </si>
  <si>
    <t xml:space="preserve">C6H9N3O2 </t>
  </si>
  <si>
    <t xml:space="preserve">C6H10O4 </t>
  </si>
  <si>
    <t xml:space="preserve">Adipic acid </t>
  </si>
  <si>
    <t xml:space="preserve">C6H12O2 </t>
  </si>
  <si>
    <t xml:space="preserve">Hexanoic acid </t>
  </si>
  <si>
    <t xml:space="preserve">4-Methylpentanoic acid </t>
  </si>
  <si>
    <t xml:space="preserve">C6H13N </t>
  </si>
  <si>
    <t xml:space="preserve">1-Methylpiperidine </t>
  </si>
  <si>
    <t xml:space="preserve">C6H13NO2 </t>
  </si>
  <si>
    <t xml:space="preserve">6-Aminohexanoic acid </t>
  </si>
  <si>
    <t xml:space="preserve">C6H14N2O2 </t>
  </si>
  <si>
    <t xml:space="preserve">Lysine </t>
  </si>
  <si>
    <t xml:space="preserve">C6H14N4O2 </t>
  </si>
  <si>
    <t xml:space="preserve">C6H15N </t>
  </si>
  <si>
    <t xml:space="preserve">Diisopropylamine </t>
  </si>
  <si>
    <t xml:space="preserve">Hexylamine </t>
  </si>
  <si>
    <t xml:space="preserve">C6H16N2 </t>
  </si>
  <si>
    <t xml:space="preserve">Hexamethylenediamine </t>
  </si>
  <si>
    <t xml:space="preserve">C7H5CIO2 </t>
  </si>
  <si>
    <t xml:space="preserve">2-Chlorobenzoic acid </t>
  </si>
  <si>
    <t xml:space="preserve">3-Chlorobenzoic acid </t>
  </si>
  <si>
    <t xml:space="preserve">4-Chlorobenzoic acid </t>
  </si>
  <si>
    <t xml:space="preserve">C7H5NO3S </t>
  </si>
  <si>
    <t xml:space="preserve">Saccharin </t>
  </si>
  <si>
    <t xml:space="preserve">C7H5NO4 </t>
  </si>
  <si>
    <t xml:space="preserve">Dinicotinic acid </t>
  </si>
  <si>
    <t xml:space="preserve">Dipicolinic acid </t>
  </si>
  <si>
    <t xml:space="preserve">4-Nitrobenzoic acid </t>
  </si>
  <si>
    <t xml:space="preserve">C7H6O2 </t>
  </si>
  <si>
    <t xml:space="preserve">Benzoic acid </t>
  </si>
  <si>
    <t xml:space="preserve">C7H6O3 </t>
  </si>
  <si>
    <t xml:space="preserve">m-Hydroxybenzoic acid </t>
  </si>
  <si>
    <t xml:space="preserve">p-Hydroxybenzoic acid </t>
  </si>
  <si>
    <t xml:space="preserve">C7H7NO2 </t>
  </si>
  <si>
    <t xml:space="preserve">2-Aminobenzoic acid </t>
  </si>
  <si>
    <t xml:space="preserve">4-Animobenzoic acid </t>
  </si>
  <si>
    <t xml:space="preserve">C7H8O </t>
  </si>
  <si>
    <t xml:space="preserve">m-Cresol </t>
  </si>
  <si>
    <t xml:space="preserve">p-Cresol </t>
  </si>
  <si>
    <t xml:space="preserve">C7H9N </t>
  </si>
  <si>
    <t xml:space="preserve">Benzylamine </t>
  </si>
  <si>
    <t xml:space="preserve">2-Ethylpyridine </t>
  </si>
  <si>
    <t xml:space="preserve">C7H12O4 </t>
  </si>
  <si>
    <t xml:space="preserve">Heptanedioic acid </t>
  </si>
  <si>
    <t xml:space="preserve">C7H14O2 </t>
  </si>
  <si>
    <t xml:space="preserve">Heptanoic acid </t>
  </si>
  <si>
    <t xml:space="preserve">C7H17N </t>
  </si>
  <si>
    <t xml:space="preserve">Heptylamine </t>
  </si>
  <si>
    <t xml:space="preserve">C8H6O4 </t>
  </si>
  <si>
    <t xml:space="preserve">m-Phthalic acid </t>
  </si>
  <si>
    <t xml:space="preserve">p-Phthalic acid </t>
  </si>
  <si>
    <t xml:space="preserve">Terephthalic acid </t>
  </si>
  <si>
    <t xml:space="preserve">C8H8N2 </t>
  </si>
  <si>
    <t xml:space="preserve">2-Methylbenzimidazole </t>
  </si>
  <si>
    <t xml:space="preserve">C8H8O2 </t>
  </si>
  <si>
    <t xml:space="preserve">Phenylacetic acid </t>
  </si>
  <si>
    <t xml:space="preserve">o-Toluic acid </t>
  </si>
  <si>
    <t xml:space="preserve">m-Toluic acid </t>
  </si>
  <si>
    <t xml:space="preserve">p-Toluic acid </t>
  </si>
  <si>
    <t xml:space="preserve">C8H9NO2 </t>
  </si>
  <si>
    <t xml:space="preserve">Phenylglycine </t>
  </si>
  <si>
    <t xml:space="preserve">C8H11N </t>
  </si>
  <si>
    <t xml:space="preserve">Phenylethylamine </t>
  </si>
  <si>
    <t xml:space="preserve">C8H11NO </t>
  </si>
  <si>
    <t xml:space="preserve">o-Phenetidine </t>
  </si>
  <si>
    <t xml:space="preserve">m-Phenetidine </t>
  </si>
  <si>
    <t xml:space="preserve">p-Phenetidine </t>
  </si>
  <si>
    <t xml:space="preserve">Tyramine </t>
  </si>
  <si>
    <t xml:space="preserve">C8H11NO2 </t>
  </si>
  <si>
    <t xml:space="preserve">Dopamine </t>
  </si>
  <si>
    <t xml:space="preserve">C8H11NO3 </t>
  </si>
  <si>
    <t xml:space="preserve">Noradrenaline </t>
  </si>
  <si>
    <t xml:space="preserve">C8H12N2O3 </t>
  </si>
  <si>
    <t xml:space="preserve">C8H14O4 </t>
  </si>
  <si>
    <t xml:space="preserve">Octanedioic acid </t>
  </si>
  <si>
    <t xml:space="preserve">C8H16O2 </t>
  </si>
  <si>
    <t xml:space="preserve">Octanoic acid </t>
  </si>
  <si>
    <t xml:space="preserve">C9H7N </t>
  </si>
  <si>
    <t xml:space="preserve">Quinoline </t>
  </si>
  <si>
    <t>Martell, A. E., Smith, R. M., Critical Stability Constants, Vol. 1–4. Plenum Press: New York, 1976.</t>
  </si>
  <si>
    <t>Phosphoric acid</t>
  </si>
  <si>
    <t>Sulfurous acid</t>
  </si>
  <si>
    <t>Acetic acid</t>
  </si>
  <si>
    <t>Ammonia</t>
  </si>
  <si>
    <t>Perrin, D. D., Dissociation Constants of Organic Bases in Aqueous Solution, Butterworths, London, 1965; Supplement, 1972.</t>
  </si>
  <si>
    <t>Serjeant, E. P., and Dempsey, B., Ionization Constants of Organic Acids in Aqueous Solution, Pergamon, Oxford, 1979.</t>
  </si>
  <si>
    <t xml:space="preserve">Albert, A., "Ionization Constants of Heterocyclic Substances", in Physical Methods in Heterocyclic Chemistry, Katritzky, A. R., Ed., Academic Press, New York, 1963. </t>
  </si>
  <si>
    <t>Perrin, D. D., Dempsey, B., and Serjeant, E. P., pKa Prediction for Organic Acids and Bases, Chapman &amp; Hall, London, 1981.</t>
  </si>
  <si>
    <t>Dawson, R. M. C., Elliot, D. C., Elliot, W. H., and Jones, K. M., Data for Biochemical Research, Oxford Science Publications, Oxford, 1986.</t>
  </si>
  <si>
    <t>Citric acid</t>
  </si>
  <si>
    <t>Temperat.</t>
  </si>
  <si>
    <r>
      <t>pKa</t>
    </r>
    <r>
      <rPr>
        <vertAlign val="subscript"/>
        <sz val="10"/>
        <rFont val="Arial"/>
        <family val="2"/>
      </rPr>
      <t>1</t>
    </r>
  </si>
  <si>
    <r>
      <t>pKa</t>
    </r>
    <r>
      <rPr>
        <vertAlign val="subscript"/>
        <sz val="10"/>
        <rFont val="Arial"/>
        <family val="2"/>
      </rPr>
      <t>2</t>
    </r>
  </si>
  <si>
    <r>
      <t>pKa</t>
    </r>
    <r>
      <rPr>
        <vertAlign val="subscript"/>
        <sz val="10"/>
        <rFont val="Arial"/>
        <family val="2"/>
      </rPr>
      <t>3</t>
    </r>
  </si>
  <si>
    <r>
      <t>pKa</t>
    </r>
    <r>
      <rPr>
        <vertAlign val="subscript"/>
        <sz val="10"/>
        <rFont val="Arial"/>
        <family val="2"/>
      </rPr>
      <t>4</t>
    </r>
  </si>
  <si>
    <r>
      <t>pKa</t>
    </r>
    <r>
      <rPr>
        <vertAlign val="subscript"/>
        <sz val="10"/>
        <rFont val="Arial"/>
        <family val="2"/>
      </rPr>
      <t>5</t>
    </r>
  </si>
  <si>
    <r>
      <t>pKa</t>
    </r>
    <r>
      <rPr>
        <vertAlign val="subscript"/>
        <sz val="10"/>
        <rFont val="Arial"/>
        <family val="2"/>
      </rPr>
      <t>6</t>
    </r>
  </si>
  <si>
    <t>ºC</t>
  </si>
  <si>
    <t>g/mol</t>
  </si>
  <si>
    <t>C10H16N2O8</t>
  </si>
  <si>
    <t>H3PO4</t>
  </si>
  <si>
    <t>CH3COOH</t>
  </si>
  <si>
    <t xml:space="preserve">Alanine </t>
  </si>
  <si>
    <t>C3H7NO2</t>
  </si>
  <si>
    <t>2-Aminophenol</t>
  </si>
  <si>
    <t>C6H7NO</t>
  </si>
  <si>
    <r>
      <t>b</t>
    </r>
    <r>
      <rPr>
        <sz val="10"/>
        <rFont val="Arial"/>
        <family val="2"/>
      </rPr>
      <t xml:space="preserve">-Alanine </t>
    </r>
  </si>
  <si>
    <t>Arginine</t>
  </si>
  <si>
    <t xml:space="preserve">Arsenic acid </t>
  </si>
  <si>
    <t>Arsenous acid</t>
  </si>
  <si>
    <t>Asparagine</t>
  </si>
  <si>
    <t>Barbital</t>
  </si>
  <si>
    <t xml:space="preserve">Boric acid </t>
  </si>
  <si>
    <t>H3BO3</t>
  </si>
  <si>
    <t>Carbonic acid</t>
  </si>
  <si>
    <t>Catechol</t>
  </si>
  <si>
    <t>C6H4(OH)2</t>
  </si>
  <si>
    <t>Chloroacetic acid</t>
  </si>
  <si>
    <t>ClCH2COOH</t>
  </si>
  <si>
    <t>Chromic acid</t>
  </si>
  <si>
    <t>H2CrO4</t>
  </si>
  <si>
    <t xml:space="preserve">O-Cresol </t>
  </si>
  <si>
    <t>Cupferron</t>
  </si>
  <si>
    <t>C6H6N2O</t>
  </si>
  <si>
    <t>Cyanic acid</t>
  </si>
  <si>
    <t>Dichloroacetic acid</t>
  </si>
  <si>
    <t>Cl2CHCOOH</t>
  </si>
  <si>
    <t>Diethylamine</t>
  </si>
  <si>
    <t>(CH3CH2)2NH</t>
  </si>
  <si>
    <t>Dimethylamine</t>
  </si>
  <si>
    <t>(CH3)2NH</t>
  </si>
  <si>
    <t>C4H12O2N2</t>
  </si>
  <si>
    <t>Ethylamine</t>
  </si>
  <si>
    <t>CH3CH2NH2</t>
  </si>
  <si>
    <t>Ethylenediamine</t>
  </si>
  <si>
    <t>H2NCH2CH2NH2</t>
  </si>
  <si>
    <t>Ethylenediaminetetraacetic acid (EDTA)</t>
  </si>
  <si>
    <t>HCOOH</t>
  </si>
  <si>
    <t>Fumaric acid</t>
  </si>
  <si>
    <t xml:space="preserve">L-Glutathione </t>
  </si>
  <si>
    <t>Glycine</t>
  </si>
  <si>
    <t>H2NCH2COOH</t>
  </si>
  <si>
    <t>Glycolic acid</t>
  </si>
  <si>
    <t>HOCH2COOH</t>
  </si>
  <si>
    <t>Glyoxylic acid</t>
  </si>
  <si>
    <t>Histidine</t>
  </si>
  <si>
    <t>Hydrogen bromide</t>
  </si>
  <si>
    <t>Hydrogen chloride</t>
  </si>
  <si>
    <t xml:space="preserve">Hydrogen chromate ion </t>
  </si>
  <si>
    <t>Hydrogen cyanide</t>
  </si>
  <si>
    <t>Hydrogen fluoride</t>
  </si>
  <si>
    <t>H2O2</t>
  </si>
  <si>
    <t>H2S</t>
  </si>
  <si>
    <t xml:space="preserve">Hydrogen thiocyanate </t>
  </si>
  <si>
    <t>HSCN</t>
  </si>
  <si>
    <t>Hydroxylamine</t>
  </si>
  <si>
    <t>NH2OH</t>
  </si>
  <si>
    <t>8-Hydroxyquinoline</t>
  </si>
  <si>
    <t>HOBr</t>
  </si>
  <si>
    <t>HOCl</t>
  </si>
  <si>
    <t>HOI</t>
  </si>
  <si>
    <t xml:space="preserve">Imidazole </t>
  </si>
  <si>
    <t>Iodic acid</t>
  </si>
  <si>
    <t>HIO3</t>
  </si>
  <si>
    <t>Isoleucine</t>
  </si>
  <si>
    <t>Lactic acid</t>
  </si>
  <si>
    <t xml:space="preserve">l-Leucine </t>
  </si>
  <si>
    <t>Malonic acid</t>
  </si>
  <si>
    <t>HOOCCH2COOH</t>
  </si>
  <si>
    <t xml:space="preserve">Methylmalonic acid </t>
  </si>
  <si>
    <t>Nitrilotriacetic acid</t>
  </si>
  <si>
    <t>2-Nitrobenzoic acid</t>
  </si>
  <si>
    <t>2-Nitrophenol</t>
  </si>
  <si>
    <t>3-Nitrophenol</t>
  </si>
  <si>
    <t>3-Nitrobenzoic acid</t>
  </si>
  <si>
    <t>Nitrous acid</t>
  </si>
  <si>
    <t>HNO2</t>
  </si>
  <si>
    <t>Oxalic acid</t>
  </si>
  <si>
    <t>Perchloric acid</t>
  </si>
  <si>
    <t>HClO4</t>
  </si>
  <si>
    <t>Phenol</t>
  </si>
  <si>
    <t>o-Phthalic acid</t>
  </si>
  <si>
    <t>Piperidine</t>
  </si>
  <si>
    <t>C5H11N</t>
  </si>
  <si>
    <t>Proline</t>
  </si>
  <si>
    <t>C5H9NO2</t>
  </si>
  <si>
    <t>Propanoic acid</t>
  </si>
  <si>
    <t>CH3CH2COOH</t>
  </si>
  <si>
    <t>Propylamine</t>
  </si>
  <si>
    <t>CH3CH2CH2NH2</t>
  </si>
  <si>
    <t>Pyridine</t>
  </si>
  <si>
    <t>C5H5N</t>
  </si>
  <si>
    <t xml:space="preserve">Pyrimidine </t>
  </si>
  <si>
    <t>Resorcinol</t>
  </si>
  <si>
    <t>Salicylic acid</t>
  </si>
  <si>
    <t>Selenic acid</t>
  </si>
  <si>
    <t>H2SeO4</t>
  </si>
  <si>
    <t>Selenous acid</t>
  </si>
  <si>
    <t>C3H7NO3</t>
  </si>
  <si>
    <t>o-Silicic acid</t>
  </si>
  <si>
    <t>H4SiO4</t>
  </si>
  <si>
    <t>m-Silicic acid</t>
  </si>
  <si>
    <t>H2SiO3</t>
  </si>
  <si>
    <t>Succinic acid</t>
  </si>
  <si>
    <t>HOOCCH2CH2COOH</t>
  </si>
  <si>
    <t>Sulfuric acid</t>
  </si>
  <si>
    <t>H2SO3</t>
  </si>
  <si>
    <t>d-Tartaric acid</t>
  </si>
  <si>
    <t>Thiosulfuric acid</t>
  </si>
  <si>
    <t>H2S2O3</t>
  </si>
  <si>
    <t>Threonine</t>
  </si>
  <si>
    <t>C4H9NO3</t>
  </si>
  <si>
    <t>Trichloroacetic acid</t>
  </si>
  <si>
    <t>Cl3CCOOH</t>
  </si>
  <si>
    <t>Triethanolamine</t>
  </si>
  <si>
    <t>(HOCH2CH2)3NH</t>
  </si>
  <si>
    <t>Triethylamine</t>
  </si>
  <si>
    <t>(CH3CH2)3NH</t>
  </si>
  <si>
    <t>Trimethylamine</t>
  </si>
  <si>
    <t>(CH3)3NH</t>
  </si>
  <si>
    <t>Tris(hydroxymethyl)- aminomethane (tris)</t>
  </si>
  <si>
    <t>(HOCH2)3CNH3</t>
  </si>
  <si>
    <t>Tryptophan</t>
  </si>
  <si>
    <t xml:space="preserve">C9H11NO2 </t>
  </si>
  <si>
    <t xml:space="preserve">Phenylalanine </t>
  </si>
  <si>
    <t xml:space="preserve">C9H11NO3 </t>
  </si>
  <si>
    <t xml:space="preserve">Tyrosine </t>
  </si>
  <si>
    <t xml:space="preserve">C10H8O </t>
  </si>
  <si>
    <t xml:space="preserve">1-Naphthol </t>
  </si>
  <si>
    <t xml:space="preserve">2-Naphthol </t>
  </si>
  <si>
    <t xml:space="preserve">C10H14N2 </t>
  </si>
  <si>
    <t xml:space="preserve">Nicotine </t>
  </si>
  <si>
    <t xml:space="preserve">C10H15NO </t>
  </si>
  <si>
    <t xml:space="preserve">d-Ephedrine </t>
  </si>
  <si>
    <t xml:space="preserve">l-Ephedrine </t>
  </si>
  <si>
    <t xml:space="preserve">C10H17N3O6S </t>
  </si>
  <si>
    <t xml:space="preserve">C10H23N </t>
  </si>
  <si>
    <t xml:space="preserve">Decylamine </t>
  </si>
  <si>
    <t xml:space="preserve">C11H11N </t>
  </si>
  <si>
    <t xml:space="preserve">Methyl-1-naphthylamine </t>
  </si>
  <si>
    <t xml:space="preserve">C11H12N2O2 </t>
  </si>
  <si>
    <t xml:space="preserve">C11H16N2O2 </t>
  </si>
  <si>
    <t xml:space="preserve">Pilocarpine </t>
  </si>
  <si>
    <t xml:space="preserve">C12H8N2 </t>
  </si>
  <si>
    <t xml:space="preserve">1,10-Phenanthroline </t>
  </si>
  <si>
    <t xml:space="preserve">C12H11N </t>
  </si>
  <si>
    <t xml:space="preserve">2-Benzylpyridine </t>
  </si>
  <si>
    <t xml:space="preserve">Diphenylamine </t>
  </si>
  <si>
    <t xml:space="preserve">C17H19NO3 </t>
  </si>
  <si>
    <t xml:space="preserve">Morphine </t>
  </si>
  <si>
    <t xml:space="preserve">C18H21NO3 </t>
  </si>
  <si>
    <t xml:space="preserve">Codeine </t>
  </si>
  <si>
    <t xml:space="preserve">C18H39N </t>
  </si>
  <si>
    <t xml:space="preserve">Octadecylamine </t>
  </si>
  <si>
    <t xml:space="preserve">C20H21NO4 </t>
  </si>
  <si>
    <t xml:space="preserve">Papaverine </t>
  </si>
  <si>
    <t xml:space="preserve">C20H24N2O2 </t>
  </si>
  <si>
    <t xml:space="preserve">Quinine </t>
  </si>
  <si>
    <t xml:space="preserve">C21H22N2O2 </t>
  </si>
  <si>
    <t xml:space="preserve">Strychnine </t>
  </si>
  <si>
    <t>dpH/dVol</t>
  </si>
  <si>
    <t>Hypochlorous</t>
  </si>
  <si>
    <t>Hypobromous</t>
  </si>
  <si>
    <t>Hypoiodous</t>
  </si>
  <si>
    <t>Hydrogen sulfide</t>
  </si>
  <si>
    <t>Hydrogen peroxide</t>
  </si>
  <si>
    <t>gutz@iq.usp.br</t>
  </si>
  <si>
    <t>dpH/dV</t>
  </si>
  <si>
    <t>S pH=</t>
  </si>
  <si>
    <t>S Vol=</t>
  </si>
  <si>
    <r>
      <t>[H</t>
    </r>
    <r>
      <rPr>
        <vertAlign val="subscript"/>
        <sz val="11"/>
        <rFont val="Arial"/>
        <family val="2"/>
      </rPr>
      <t>4</t>
    </r>
    <r>
      <rPr>
        <sz val="10"/>
        <rFont val="Arial"/>
        <family val="2"/>
      </rPr>
      <t>B]</t>
    </r>
  </si>
  <si>
    <r>
      <t>[H</t>
    </r>
    <r>
      <rPr>
        <vertAlign val="subscript"/>
        <sz val="11"/>
        <rFont val="Arial"/>
        <family val="2"/>
      </rPr>
      <t>6</t>
    </r>
    <r>
      <rPr>
        <sz val="10"/>
        <rFont val="Arial"/>
        <family val="2"/>
      </rPr>
      <t>B]</t>
    </r>
  </si>
  <si>
    <t>B</t>
  </si>
  <si>
    <t>HB</t>
  </si>
  <si>
    <r>
      <t>H</t>
    </r>
    <r>
      <rPr>
        <sz val="10"/>
        <rFont val="Arial"/>
        <family val="2"/>
      </rPr>
      <t>2</t>
    </r>
    <r>
      <rPr>
        <sz val="12"/>
        <rFont val="Arial"/>
        <family val="2"/>
      </rPr>
      <t>B</t>
    </r>
  </si>
  <si>
    <r>
      <t>H</t>
    </r>
    <r>
      <rPr>
        <sz val="10"/>
        <rFont val="Arial"/>
        <family val="2"/>
      </rPr>
      <t>3</t>
    </r>
    <r>
      <rPr>
        <sz val="12"/>
        <rFont val="Arial"/>
        <family val="2"/>
      </rPr>
      <t>B</t>
    </r>
  </si>
  <si>
    <r>
      <t>H</t>
    </r>
    <r>
      <rPr>
        <sz val="10"/>
        <rFont val="Arial"/>
        <family val="2"/>
      </rPr>
      <t>4</t>
    </r>
    <r>
      <rPr>
        <sz val="12"/>
        <rFont val="Arial"/>
        <family val="2"/>
      </rPr>
      <t>B</t>
    </r>
  </si>
  <si>
    <r>
      <t>H</t>
    </r>
    <r>
      <rPr>
        <sz val="10"/>
        <rFont val="Arial"/>
        <family val="2"/>
      </rPr>
      <t>5</t>
    </r>
    <r>
      <rPr>
        <sz val="12"/>
        <rFont val="Arial"/>
        <family val="2"/>
      </rPr>
      <t>B</t>
    </r>
  </si>
  <si>
    <r>
      <t>H</t>
    </r>
    <r>
      <rPr>
        <sz val="10"/>
        <rFont val="Arial"/>
        <family val="2"/>
      </rPr>
      <t>6</t>
    </r>
    <r>
      <rPr>
        <sz val="12"/>
        <rFont val="Arial"/>
        <family val="2"/>
      </rPr>
      <t>B</t>
    </r>
  </si>
  <si>
    <t>Volume</t>
  </si>
  <si>
    <t>HI</t>
  </si>
  <si>
    <t>HCl</t>
  </si>
  <si>
    <t>HF</t>
  </si>
  <si>
    <t>H2CO3</t>
  </si>
  <si>
    <t>HCN</t>
  </si>
  <si>
    <t>EDTA</t>
  </si>
  <si>
    <t>pH</t>
  </si>
  <si>
    <t>[B]</t>
  </si>
  <si>
    <t>[HB]</t>
  </si>
  <si>
    <r>
      <t>S</t>
    </r>
    <r>
      <rPr>
        <sz val="10"/>
        <rFont val="Arial"/>
        <family val="2"/>
      </rPr>
      <t>[H]</t>
    </r>
  </si>
  <si>
    <t>pKw</t>
  </si>
  <si>
    <t>Kw</t>
  </si>
  <si>
    <t>h1</t>
  </si>
  <si>
    <t>h2</t>
  </si>
  <si>
    <t>h3</t>
  </si>
  <si>
    <t>h4</t>
  </si>
  <si>
    <t>h5</t>
  </si>
  <si>
    <t>h6</t>
  </si>
  <si>
    <t>NH3</t>
  </si>
  <si>
    <t>h7</t>
  </si>
  <si>
    <t>SS</t>
  </si>
  <si>
    <t>CHcalc</t>
  </si>
  <si>
    <r>
      <t>SS</t>
    </r>
    <r>
      <rPr>
        <sz val="10"/>
        <rFont val="Arial"/>
        <family val="2"/>
      </rPr>
      <t>[bases]</t>
    </r>
  </si>
  <si>
    <t>Total</t>
  </si>
  <si>
    <t xml:space="preserve"> </t>
  </si>
  <si>
    <t xml:space="preserve">H3AsO4 </t>
  </si>
  <si>
    <t xml:space="preserve">H3AsO3 </t>
  </si>
  <si>
    <t xml:space="preserve">H3C6H5O7 </t>
  </si>
  <si>
    <t xml:space="preserve">HCNO </t>
  </si>
  <si>
    <t xml:space="preserve">Hydroazoic </t>
  </si>
  <si>
    <t xml:space="preserve">HN3 </t>
  </si>
  <si>
    <t xml:space="preserve">Hydrogen selenate ion </t>
  </si>
  <si>
    <t xml:space="preserve">HC3H5O3 </t>
  </si>
  <si>
    <t xml:space="preserve">H5IO6 </t>
  </si>
  <si>
    <t xml:space="preserve">HC6H5O </t>
  </si>
  <si>
    <t xml:space="preserve">Pyrophosphoric </t>
  </si>
  <si>
    <t xml:space="preserve">H4P2O7 </t>
  </si>
  <si>
    <t xml:space="preserve">H2SeO3 </t>
  </si>
  <si>
    <t xml:space="preserve">H2SO4 </t>
  </si>
  <si>
    <t xml:space="preserve">Aniline </t>
  </si>
  <si>
    <t xml:space="preserve">Methylamine </t>
  </si>
  <si>
    <t>http://www.zirchrom.com/organic.htm</t>
  </si>
  <si>
    <t xml:space="preserve">Formic acid </t>
  </si>
  <si>
    <t xml:space="preserve">CH4N2O </t>
  </si>
  <si>
    <t xml:space="preserve">Urea </t>
  </si>
  <si>
    <t xml:space="preserve">CH5N </t>
  </si>
  <si>
    <t xml:space="preserve">C2H2O3 </t>
  </si>
  <si>
    <t xml:space="preserve">C2H2O4 </t>
  </si>
  <si>
    <t xml:space="preserve">C2H4OS </t>
  </si>
  <si>
    <t xml:space="preserve">Thioacetic acid </t>
  </si>
  <si>
    <t xml:space="preserve">C2H5N </t>
  </si>
  <si>
    <t xml:space="preserve">Ethyleneimine </t>
  </si>
  <si>
    <t xml:space="preserve">C2H5NO </t>
  </si>
  <si>
    <t xml:space="preserve">Acetamide </t>
  </si>
  <si>
    <t xml:space="preserve">C2H7NO </t>
  </si>
  <si>
    <t xml:space="preserve">Ethanolamine </t>
  </si>
  <si>
    <t xml:space="preserve">C3H3NS </t>
  </si>
  <si>
    <t xml:space="preserve">Thiazole </t>
  </si>
  <si>
    <t xml:space="preserve">C3H4N2 </t>
  </si>
  <si>
    <t xml:space="preserve">C3H4O2 </t>
  </si>
  <si>
    <t xml:space="preserve">Acrylic acid </t>
  </si>
  <si>
    <t xml:space="preserve">C3H4O3 </t>
  </si>
  <si>
    <t xml:space="preserve">Pyruvic acid </t>
  </si>
  <si>
    <t xml:space="preserve">C3H6N6 </t>
  </si>
  <si>
    <t xml:space="preserve">C3H6O3 </t>
  </si>
  <si>
    <t xml:space="preserve">3-Hydroxypropanoic acid </t>
  </si>
  <si>
    <t xml:space="preserve">C3H6O4 </t>
  </si>
  <si>
    <t xml:space="preserve">Glyceric acid </t>
  </si>
  <si>
    <t xml:space="preserve">C3H7NO2 </t>
  </si>
  <si>
    <t xml:space="preserve">C3H7NO2S </t>
  </si>
  <si>
    <t xml:space="preserve">Cysteine </t>
  </si>
  <si>
    <t xml:space="preserve">Serine </t>
  </si>
  <si>
    <t xml:space="preserve">C3H8O3 </t>
  </si>
  <si>
    <t xml:space="preserve">Glycerol </t>
  </si>
  <si>
    <t xml:space="preserve">C4H4N2O3 </t>
  </si>
  <si>
    <t xml:space="preserve">Barbituric acid </t>
  </si>
  <si>
    <t xml:space="preserve">C4H4O4 </t>
  </si>
  <si>
    <t xml:space="preserve">Maleic acid </t>
  </si>
  <si>
    <t xml:space="preserve">C4H4O5 </t>
  </si>
  <si>
    <t xml:space="preserve">Oxaloacetic acid </t>
  </si>
  <si>
    <t xml:space="preserve">C4H6O2 </t>
  </si>
  <si>
    <t xml:space="preserve">3-Butenoic acid </t>
  </si>
  <si>
    <t xml:space="preserve">C4H6O3 </t>
  </si>
  <si>
    <t xml:space="preserve">Acetoacetic acid </t>
  </si>
  <si>
    <t xml:space="preserve">C4H6O4 </t>
  </si>
  <si>
    <t xml:space="preserve">C4H6O5 </t>
  </si>
  <si>
    <t xml:space="preserve">Malic acid </t>
  </si>
  <si>
    <t xml:space="preserve">C4H6O6 </t>
  </si>
  <si>
    <t xml:space="preserve">meso-Tartaric acid </t>
  </si>
  <si>
    <t xml:space="preserve">C4H7NO4 </t>
  </si>
  <si>
    <t xml:space="preserve">Aspartic acid </t>
  </si>
  <si>
    <t xml:space="preserve">C4H7N3O </t>
  </si>
  <si>
    <t xml:space="preserve">Creatinine </t>
  </si>
  <si>
    <t xml:space="preserve">C4H8N2O3 </t>
  </si>
  <si>
    <t xml:space="preserve">C4H8O2 </t>
  </si>
  <si>
    <t xml:space="preserve">Butanoic acid </t>
  </si>
  <si>
    <t xml:space="preserve">C4H9N </t>
  </si>
  <si>
    <t xml:space="preserve">Pyrrolidine </t>
  </si>
  <si>
    <t xml:space="preserve">C4H9NO </t>
  </si>
  <si>
    <t xml:space="preserve">Morpholine </t>
  </si>
  <si>
    <t xml:space="preserve">C4H9NO2 </t>
  </si>
  <si>
    <t xml:space="preserve">2-Aminobutanoic acid </t>
  </si>
  <si>
    <t xml:space="preserve">C4H10N2 </t>
  </si>
  <si>
    <t xml:space="preserve">Piperazine </t>
  </si>
  <si>
    <t xml:space="preserve">C4H10N2O2 </t>
  </si>
  <si>
    <t xml:space="preserve">2,4-Diaminobutanoic acid </t>
  </si>
  <si>
    <t xml:space="preserve">C4H11N </t>
  </si>
  <si>
    <t xml:space="preserve">Butylamine </t>
  </si>
  <si>
    <t xml:space="preserve">sec-Butylamine </t>
  </si>
  <si>
    <t xml:space="preserve">tert-Butylamine </t>
  </si>
  <si>
    <t xml:space="preserve">C5H4N4 </t>
  </si>
  <si>
    <t xml:space="preserve">Purine </t>
  </si>
  <si>
    <t xml:space="preserve">C5H4N4O3 </t>
  </si>
  <si>
    <t xml:space="preserve">Uric acid </t>
  </si>
  <si>
    <t>Vol</t>
  </si>
  <si>
    <t>pH/14</t>
  </si>
  <si>
    <t xml:space="preserve">C5H9NO4 </t>
  </si>
  <si>
    <t xml:space="preserve">L-Glutamic acid </t>
  </si>
  <si>
    <t xml:space="preserve">C5H9N3 </t>
  </si>
  <si>
    <t xml:space="preserve">Histamine </t>
  </si>
  <si>
    <t xml:space="preserve">C5H10N2O3 </t>
  </si>
  <si>
    <t xml:space="preserve">L-Glutamine </t>
  </si>
  <si>
    <t xml:space="preserve">C5H10O2 </t>
  </si>
  <si>
    <t xml:space="preserve">2-Methylbutanoic acid </t>
  </si>
  <si>
    <t xml:space="preserve">3-Methylbutanoic acid </t>
  </si>
  <si>
    <t xml:space="preserve">Pentanoic acid </t>
  </si>
  <si>
    <t xml:space="preserve">Trimethylacetic acid   </t>
  </si>
  <si>
    <t xml:space="preserve">C5H11NO2 </t>
  </si>
  <si>
    <t xml:space="preserve">5-Aminopentanoic acid </t>
  </si>
  <si>
    <t xml:space="preserve">Betaine </t>
  </si>
  <si>
    <t xml:space="preserve">Valine </t>
  </si>
  <si>
    <t xml:space="preserve">C5H11NO2S </t>
  </si>
  <si>
    <t xml:space="preserve">C5H14NO </t>
  </si>
  <si>
    <t xml:space="preserve">Choline </t>
  </si>
  <si>
    <t xml:space="preserve">C5H14N2 </t>
  </si>
  <si>
    <t xml:space="preserve">Cadaverine </t>
  </si>
  <si>
    <t xml:space="preserve">C6H3N3O7 </t>
  </si>
  <si>
    <t xml:space="preserve">Picric acid </t>
  </si>
  <si>
    <t xml:space="preserve">C6H4Cl2O </t>
  </si>
  <si>
    <t xml:space="preserve">2,3-Dichlorophenol </t>
  </si>
  <si>
    <t xml:space="preserve">C6H5CIO </t>
  </si>
  <si>
    <t xml:space="preserve">2-Chlorophenol </t>
  </si>
  <si>
    <t xml:space="preserve">3-Chlorophenol </t>
  </si>
  <si>
    <t xml:space="preserve">4-Chlorophenol </t>
  </si>
  <si>
    <t xml:space="preserve">C6H5NO2 </t>
  </si>
  <si>
    <t xml:space="preserve">Picolinic acid </t>
  </si>
  <si>
    <t xml:space="preserve">3-Pyridinecarboxylic acid </t>
  </si>
  <si>
    <t xml:space="preserve">4-Pyridinecarboxylic acid </t>
  </si>
  <si>
    <t xml:space="preserve">C6H5NO3 </t>
  </si>
  <si>
    <t xml:space="preserve">4-Nitrophenol </t>
  </si>
  <si>
    <t xml:space="preserve">C6H6CIN </t>
  </si>
  <si>
    <t xml:space="preserve">2-Chloroaniline </t>
  </si>
  <si>
    <t xml:space="preserve">3-Chloroaniline </t>
  </si>
  <si>
    <t xml:space="preserve">4-Chloroaniline </t>
  </si>
  <si>
    <t xml:space="preserve">C6H6N2O2 </t>
  </si>
  <si>
    <t xml:space="preserve">2-Nitroaniline </t>
  </si>
  <si>
    <t xml:space="preserve">3-Nitroaniline </t>
  </si>
  <si>
    <t xml:space="preserve">4-Nitroaniline </t>
  </si>
  <si>
    <t xml:space="preserve">C6H6O2 </t>
  </si>
  <si>
    <t xml:space="preserve">Hydroquinone </t>
  </si>
  <si>
    <t xml:space="preserve">Pyrocatechol </t>
  </si>
  <si>
    <t xml:space="preserve">  pKa(n) = -log Kd(HB--&gt;B) = log Kp(1)</t>
  </si>
  <si>
    <r>
      <t>b</t>
    </r>
    <r>
      <rPr>
        <vertAlign val="subscript"/>
        <sz val="12"/>
        <rFont val="Arial"/>
        <family val="2"/>
      </rPr>
      <t>p1</t>
    </r>
  </si>
  <si>
    <r>
      <t>[H</t>
    </r>
    <r>
      <rPr>
        <vertAlign val="subscript"/>
        <sz val="12"/>
        <rFont val="Arial"/>
        <family val="2"/>
      </rPr>
      <t>2</t>
    </r>
    <r>
      <rPr>
        <sz val="10"/>
        <rFont val="Arial"/>
        <family val="2"/>
      </rPr>
      <t>B]</t>
    </r>
  </si>
  <si>
    <r>
      <t>b</t>
    </r>
    <r>
      <rPr>
        <vertAlign val="subscript"/>
        <sz val="12"/>
        <rFont val="Arial"/>
        <family val="2"/>
      </rPr>
      <t>p2</t>
    </r>
  </si>
  <si>
    <r>
      <t>[H</t>
    </r>
    <r>
      <rPr>
        <vertAlign val="subscript"/>
        <sz val="12"/>
        <rFont val="Arial"/>
        <family val="2"/>
      </rPr>
      <t>3</t>
    </r>
    <r>
      <rPr>
        <sz val="10"/>
        <rFont val="Arial"/>
        <family val="2"/>
      </rPr>
      <t>B]</t>
    </r>
  </si>
  <si>
    <r>
      <t>b</t>
    </r>
    <r>
      <rPr>
        <vertAlign val="subscript"/>
        <sz val="12"/>
        <rFont val="Arial"/>
        <family val="2"/>
      </rPr>
      <t>p3</t>
    </r>
  </si>
  <si>
    <r>
      <t>[H</t>
    </r>
    <r>
      <rPr>
        <vertAlign val="subscript"/>
        <sz val="12"/>
        <rFont val="Arial"/>
        <family val="2"/>
      </rPr>
      <t>4</t>
    </r>
    <r>
      <rPr>
        <sz val="10"/>
        <rFont val="Arial"/>
        <family val="2"/>
      </rPr>
      <t>B]</t>
    </r>
  </si>
  <si>
    <r>
      <t>b</t>
    </r>
    <r>
      <rPr>
        <vertAlign val="subscript"/>
        <sz val="12"/>
        <rFont val="Arial"/>
        <family val="2"/>
      </rPr>
      <t>p4</t>
    </r>
  </si>
  <si>
    <r>
      <t>[H</t>
    </r>
    <r>
      <rPr>
        <vertAlign val="subscript"/>
        <sz val="12"/>
        <rFont val="Arial"/>
        <family val="2"/>
      </rPr>
      <t>5</t>
    </r>
    <r>
      <rPr>
        <sz val="10"/>
        <rFont val="Arial"/>
        <family val="2"/>
      </rPr>
      <t>B]</t>
    </r>
  </si>
  <si>
    <r>
      <t>b</t>
    </r>
    <r>
      <rPr>
        <vertAlign val="subscript"/>
        <sz val="12"/>
        <rFont val="Arial"/>
        <family val="2"/>
      </rPr>
      <t>p5</t>
    </r>
  </si>
  <si>
    <r>
      <t>[H</t>
    </r>
    <r>
      <rPr>
        <vertAlign val="subscript"/>
        <sz val="12"/>
        <rFont val="Arial"/>
        <family val="2"/>
      </rPr>
      <t>6</t>
    </r>
    <r>
      <rPr>
        <sz val="10"/>
        <rFont val="Arial"/>
        <family val="2"/>
      </rPr>
      <t>B]</t>
    </r>
  </si>
  <si>
    <r>
      <t>b</t>
    </r>
    <r>
      <rPr>
        <vertAlign val="subscript"/>
        <sz val="12"/>
        <rFont val="Arial"/>
        <family val="2"/>
      </rPr>
      <t>p6</t>
    </r>
  </si>
  <si>
    <r>
      <t>S</t>
    </r>
    <r>
      <rPr>
        <sz val="10"/>
        <rFont val="Arial"/>
        <family val="2"/>
      </rPr>
      <t>[H</t>
    </r>
    <r>
      <rPr>
        <vertAlign val="subscript"/>
        <sz val="12"/>
        <rFont val="Arial"/>
        <family val="2"/>
      </rPr>
      <t>i</t>
    </r>
    <r>
      <rPr>
        <sz val="10"/>
        <rFont val="Arial"/>
        <family val="2"/>
      </rPr>
      <t>B]</t>
    </r>
  </si>
  <si>
    <r>
      <t>Na</t>
    </r>
    <r>
      <rPr>
        <vertAlign val="superscript"/>
        <sz val="10"/>
        <rFont val="Arial"/>
        <family val="2"/>
      </rPr>
      <t>+</t>
    </r>
  </si>
  <si>
    <r>
      <t>K</t>
    </r>
    <r>
      <rPr>
        <vertAlign val="superscript"/>
        <sz val="10"/>
        <rFont val="Arial"/>
        <family val="2"/>
      </rPr>
      <t>+</t>
    </r>
  </si>
  <si>
    <r>
      <t>Ca</t>
    </r>
    <r>
      <rPr>
        <vertAlign val="superscript"/>
        <sz val="10"/>
        <rFont val="Arial"/>
        <family val="2"/>
      </rPr>
      <t>++</t>
    </r>
  </si>
  <si>
    <t>Cl-</t>
  </si>
  <si>
    <r>
      <t>NO</t>
    </r>
    <r>
      <rPr>
        <vertAlign val="subscript"/>
        <sz val="10"/>
        <rFont val="Arial"/>
        <family val="2"/>
      </rPr>
      <t>3</t>
    </r>
    <r>
      <rPr>
        <vertAlign val="superscript"/>
        <sz val="10"/>
        <rFont val="Arial"/>
        <family val="2"/>
      </rPr>
      <t>-</t>
    </r>
  </si>
  <si>
    <r>
      <t>ClO</t>
    </r>
    <r>
      <rPr>
        <vertAlign val="subscript"/>
        <sz val="10"/>
        <rFont val="Arial"/>
        <family val="2"/>
      </rPr>
      <t>4</t>
    </r>
    <r>
      <rPr>
        <vertAlign val="superscript"/>
        <sz val="10"/>
        <rFont val="Arial"/>
        <family val="2"/>
      </rPr>
      <t>-</t>
    </r>
  </si>
  <si>
    <r>
      <t>C</t>
    </r>
    <r>
      <rPr>
        <vertAlign val="subscript"/>
        <sz val="10"/>
        <rFont val="Arial"/>
        <family val="2"/>
      </rPr>
      <t>i</t>
    </r>
    <r>
      <rPr>
        <sz val="10"/>
        <rFont val="Arial"/>
        <family val="2"/>
      </rPr>
      <t xml:space="preserve"> (mol/L)</t>
    </r>
  </si>
  <si>
    <t xml:space="preserve">A </t>
  </si>
  <si>
    <t>b</t>
  </si>
  <si>
    <r>
      <t xml:space="preserve">g </t>
    </r>
    <r>
      <rPr>
        <sz val="11"/>
        <rFont val="Arial"/>
        <family val="2"/>
      </rPr>
      <t>H</t>
    </r>
    <r>
      <rPr>
        <vertAlign val="superscript"/>
        <sz val="12"/>
        <rFont val="Arial"/>
        <family val="2"/>
      </rPr>
      <t>+</t>
    </r>
  </si>
  <si>
    <r>
      <t>a</t>
    </r>
    <r>
      <rPr>
        <vertAlign val="subscript"/>
        <sz val="13"/>
        <rFont val="Symbol"/>
        <family val="1"/>
        <charset val="2"/>
      </rPr>
      <t xml:space="preserve"> </t>
    </r>
    <r>
      <rPr>
        <vertAlign val="subscript"/>
        <sz val="13"/>
        <rFont val="Arial"/>
        <family val="2"/>
      </rPr>
      <t>H</t>
    </r>
    <r>
      <rPr>
        <sz val="8"/>
        <rFont val="Arial"/>
        <family val="2"/>
      </rPr>
      <t>+</t>
    </r>
  </si>
  <si>
    <t>pOH</t>
  </si>
  <si>
    <t>p[H]</t>
  </si>
  <si>
    <t>p[OH]</t>
  </si>
  <si>
    <r>
      <t>[H</t>
    </r>
    <r>
      <rPr>
        <vertAlign val="superscript"/>
        <sz val="10"/>
        <color indexed="8"/>
        <rFont val="Arial"/>
        <family val="2"/>
      </rPr>
      <t>+</t>
    </r>
    <r>
      <rPr>
        <sz val="10"/>
        <color indexed="8"/>
        <rFont val="Arial"/>
        <family val="2"/>
      </rPr>
      <t>]</t>
    </r>
  </si>
  <si>
    <r>
      <t>[OH</t>
    </r>
    <r>
      <rPr>
        <vertAlign val="superscript"/>
        <sz val="10"/>
        <color indexed="8"/>
        <rFont val="Arial"/>
        <family val="2"/>
      </rPr>
      <t>-</t>
    </r>
    <r>
      <rPr>
        <sz val="10"/>
        <color indexed="8"/>
        <rFont val="Arial"/>
        <family val="2"/>
      </rPr>
      <t>]</t>
    </r>
  </si>
  <si>
    <r>
      <t>S</t>
    </r>
    <r>
      <rPr>
        <sz val="10"/>
        <rFont val="Arial"/>
        <family val="2"/>
      </rPr>
      <t>[HiB]</t>
    </r>
  </si>
  <si>
    <t>% B</t>
  </si>
  <si>
    <t>% HB</t>
  </si>
  <si>
    <r>
      <t>% H</t>
    </r>
    <r>
      <rPr>
        <vertAlign val="subscript"/>
        <sz val="11"/>
        <rFont val="Arial"/>
        <family val="2"/>
      </rPr>
      <t>2</t>
    </r>
    <r>
      <rPr>
        <sz val="10"/>
        <rFont val="Arial"/>
        <family val="2"/>
      </rPr>
      <t>B</t>
    </r>
  </si>
  <si>
    <r>
      <t>% H</t>
    </r>
    <r>
      <rPr>
        <vertAlign val="subscript"/>
        <sz val="11"/>
        <rFont val="Arial"/>
        <family val="2"/>
      </rPr>
      <t>3</t>
    </r>
    <r>
      <rPr>
        <sz val="10"/>
        <rFont val="Arial"/>
        <family val="2"/>
      </rPr>
      <t>B</t>
    </r>
  </si>
  <si>
    <r>
      <t>% H</t>
    </r>
    <r>
      <rPr>
        <vertAlign val="subscript"/>
        <sz val="11"/>
        <rFont val="Arial"/>
        <family val="2"/>
      </rPr>
      <t>4</t>
    </r>
    <r>
      <rPr>
        <sz val="10"/>
        <rFont val="Arial"/>
        <family val="2"/>
      </rPr>
      <t>B</t>
    </r>
  </si>
  <si>
    <r>
      <t>% H</t>
    </r>
    <r>
      <rPr>
        <vertAlign val="subscript"/>
        <sz val="11"/>
        <rFont val="Arial"/>
        <family val="2"/>
      </rPr>
      <t>5</t>
    </r>
    <r>
      <rPr>
        <sz val="10"/>
        <rFont val="Arial"/>
        <family val="2"/>
      </rPr>
      <t>B</t>
    </r>
  </si>
  <si>
    <r>
      <t>% H</t>
    </r>
    <r>
      <rPr>
        <vertAlign val="subscript"/>
        <sz val="11"/>
        <rFont val="Arial"/>
        <family val="2"/>
      </rPr>
      <t>6</t>
    </r>
    <r>
      <rPr>
        <sz val="10"/>
        <rFont val="Arial"/>
        <family val="2"/>
      </rPr>
      <t>B</t>
    </r>
  </si>
  <si>
    <r>
      <t>% S</t>
    </r>
    <r>
      <rPr>
        <sz val="10"/>
        <rFont val="Arial"/>
        <family val="2"/>
      </rPr>
      <t>[HiB]</t>
    </r>
  </si>
  <si>
    <r>
      <t xml:space="preserve">g </t>
    </r>
    <r>
      <rPr>
        <sz val="10"/>
        <rFont val="Arial"/>
        <family val="2"/>
      </rPr>
      <t>B</t>
    </r>
  </si>
  <si>
    <r>
      <t xml:space="preserve">g </t>
    </r>
    <r>
      <rPr>
        <sz val="10"/>
        <rFont val="Arial"/>
        <family val="2"/>
      </rPr>
      <t>HB</t>
    </r>
  </si>
  <si>
    <r>
      <t xml:space="preserve">g </t>
    </r>
    <r>
      <rPr>
        <sz val="10"/>
        <rFont val="Arial"/>
        <family val="2"/>
      </rPr>
      <t>H</t>
    </r>
    <r>
      <rPr>
        <vertAlign val="subscript"/>
        <sz val="11"/>
        <rFont val="Arial"/>
        <family val="2"/>
      </rPr>
      <t>2</t>
    </r>
    <r>
      <rPr>
        <sz val="10"/>
        <rFont val="Arial"/>
        <family val="2"/>
      </rPr>
      <t>B</t>
    </r>
  </si>
  <si>
    <r>
      <t xml:space="preserve">g </t>
    </r>
    <r>
      <rPr>
        <sz val="10"/>
        <rFont val="Arial"/>
        <family val="2"/>
      </rPr>
      <t>H</t>
    </r>
    <r>
      <rPr>
        <vertAlign val="subscript"/>
        <sz val="11"/>
        <rFont val="Arial"/>
        <family val="2"/>
      </rPr>
      <t>3</t>
    </r>
    <r>
      <rPr>
        <sz val="10"/>
        <rFont val="Arial"/>
        <family val="2"/>
      </rPr>
      <t>B</t>
    </r>
  </si>
  <si>
    <r>
      <t xml:space="preserve">g </t>
    </r>
    <r>
      <rPr>
        <sz val="10"/>
        <rFont val="Arial"/>
        <family val="2"/>
      </rPr>
      <t>H</t>
    </r>
    <r>
      <rPr>
        <vertAlign val="subscript"/>
        <sz val="11"/>
        <rFont val="Arial"/>
        <family val="2"/>
      </rPr>
      <t>4</t>
    </r>
    <r>
      <rPr>
        <sz val="10"/>
        <rFont val="Arial"/>
        <family val="2"/>
      </rPr>
      <t>B</t>
    </r>
  </si>
  <si>
    <r>
      <t xml:space="preserve">g </t>
    </r>
    <r>
      <rPr>
        <sz val="10"/>
        <rFont val="Arial"/>
        <family val="2"/>
      </rPr>
      <t>H</t>
    </r>
    <r>
      <rPr>
        <vertAlign val="subscript"/>
        <sz val="11"/>
        <rFont val="Arial"/>
        <family val="2"/>
      </rPr>
      <t>5</t>
    </r>
    <r>
      <rPr>
        <sz val="10"/>
        <rFont val="Arial"/>
        <family val="2"/>
      </rPr>
      <t>B</t>
    </r>
  </si>
  <si>
    <r>
      <t xml:space="preserve">g </t>
    </r>
    <r>
      <rPr>
        <sz val="10"/>
        <rFont val="Arial"/>
        <family val="2"/>
      </rPr>
      <t>H</t>
    </r>
    <r>
      <rPr>
        <vertAlign val="subscript"/>
        <sz val="11"/>
        <rFont val="Arial"/>
        <family val="2"/>
      </rPr>
      <t>6</t>
    </r>
    <r>
      <rPr>
        <sz val="10"/>
        <rFont val="Arial"/>
        <family val="2"/>
      </rPr>
      <t>B</t>
    </r>
  </si>
  <si>
    <r>
      <t>g</t>
    </r>
    <r>
      <rPr>
        <vertAlign val="subscript"/>
        <sz val="12"/>
        <rFont val="Arial"/>
        <family val="2"/>
      </rPr>
      <t>i</t>
    </r>
  </si>
  <si>
    <t>h</t>
  </si>
  <si>
    <r>
      <t>pK'a</t>
    </r>
    <r>
      <rPr>
        <vertAlign val="subscript"/>
        <sz val="13"/>
        <rFont val="Arial"/>
        <family val="2"/>
      </rPr>
      <t xml:space="preserve">n </t>
    </r>
    <r>
      <rPr>
        <sz val="11"/>
        <rFont val="Arial"/>
        <family val="2"/>
      </rPr>
      <t>= logK'</t>
    </r>
    <r>
      <rPr>
        <vertAlign val="subscript"/>
        <sz val="13"/>
        <rFont val="Arial"/>
        <family val="2"/>
      </rPr>
      <t>p1</t>
    </r>
  </si>
  <si>
    <r>
      <t>pK'a</t>
    </r>
    <r>
      <rPr>
        <vertAlign val="subscript"/>
        <sz val="13"/>
        <rFont val="Arial"/>
        <family val="2"/>
      </rPr>
      <t xml:space="preserve">n-1 </t>
    </r>
    <r>
      <rPr>
        <sz val="11"/>
        <rFont val="Arial"/>
        <family val="2"/>
      </rPr>
      <t>= logK'</t>
    </r>
    <r>
      <rPr>
        <vertAlign val="subscript"/>
        <sz val="13"/>
        <rFont val="Arial"/>
        <family val="2"/>
      </rPr>
      <t>p2</t>
    </r>
  </si>
  <si>
    <r>
      <t>pK'a</t>
    </r>
    <r>
      <rPr>
        <vertAlign val="subscript"/>
        <sz val="13"/>
        <rFont val="Arial"/>
        <family val="2"/>
      </rPr>
      <t xml:space="preserve">n-2 </t>
    </r>
    <r>
      <rPr>
        <sz val="11"/>
        <rFont val="Arial"/>
        <family val="2"/>
      </rPr>
      <t>= logK'</t>
    </r>
    <r>
      <rPr>
        <vertAlign val="subscript"/>
        <sz val="13"/>
        <rFont val="Arial"/>
        <family val="2"/>
      </rPr>
      <t>p3</t>
    </r>
  </si>
  <si>
    <r>
      <t>pK'a</t>
    </r>
    <r>
      <rPr>
        <vertAlign val="subscript"/>
        <sz val="13"/>
        <rFont val="Arial"/>
        <family val="2"/>
      </rPr>
      <t xml:space="preserve">n-3 </t>
    </r>
    <r>
      <rPr>
        <sz val="11"/>
        <rFont val="Arial"/>
        <family val="2"/>
      </rPr>
      <t>= logK'</t>
    </r>
    <r>
      <rPr>
        <vertAlign val="subscript"/>
        <sz val="13"/>
        <rFont val="Arial"/>
        <family val="2"/>
      </rPr>
      <t>p4</t>
    </r>
  </si>
  <si>
    <r>
      <t>pK'a</t>
    </r>
    <r>
      <rPr>
        <vertAlign val="subscript"/>
        <sz val="13"/>
        <rFont val="Arial"/>
        <family val="2"/>
      </rPr>
      <t xml:space="preserve">n-4 </t>
    </r>
    <r>
      <rPr>
        <sz val="11"/>
        <rFont val="Arial"/>
        <family val="2"/>
      </rPr>
      <t>= logK'</t>
    </r>
    <r>
      <rPr>
        <vertAlign val="subscript"/>
        <sz val="13"/>
        <rFont val="Arial"/>
        <family val="2"/>
      </rPr>
      <t>p5</t>
    </r>
  </si>
  <si>
    <r>
      <t>pK'a</t>
    </r>
    <r>
      <rPr>
        <vertAlign val="subscript"/>
        <sz val="13"/>
        <rFont val="Arial"/>
        <family val="2"/>
      </rPr>
      <t xml:space="preserve">n-5 </t>
    </r>
    <r>
      <rPr>
        <sz val="11"/>
        <rFont val="Arial"/>
        <family val="2"/>
      </rPr>
      <t>= logK'</t>
    </r>
    <r>
      <rPr>
        <vertAlign val="subscript"/>
        <sz val="13"/>
        <rFont val="Arial"/>
        <family val="2"/>
      </rPr>
      <t>p6</t>
    </r>
  </si>
  <si>
    <t>pK'w</t>
  </si>
  <si>
    <t>K'w</t>
  </si>
  <si>
    <r>
      <t>b</t>
    </r>
    <r>
      <rPr>
        <sz val="12"/>
        <rFont val="Arial"/>
        <family val="2"/>
      </rPr>
      <t>'</t>
    </r>
    <r>
      <rPr>
        <vertAlign val="subscript"/>
        <sz val="12"/>
        <rFont val="Arial"/>
        <family val="2"/>
      </rPr>
      <t>p1</t>
    </r>
  </si>
  <si>
    <r>
      <t>b</t>
    </r>
    <r>
      <rPr>
        <sz val="12"/>
        <rFont val="Arial"/>
        <family val="2"/>
      </rPr>
      <t>'</t>
    </r>
    <r>
      <rPr>
        <vertAlign val="subscript"/>
        <sz val="12"/>
        <rFont val="Arial"/>
        <family val="2"/>
      </rPr>
      <t>p2</t>
    </r>
    <r>
      <rPr>
        <sz val="10"/>
        <rFont val="Arial"/>
        <family val="2"/>
      </rPr>
      <t/>
    </r>
  </si>
  <si>
    <r>
      <t>b</t>
    </r>
    <r>
      <rPr>
        <sz val="12"/>
        <rFont val="Arial"/>
        <family val="2"/>
      </rPr>
      <t>'</t>
    </r>
    <r>
      <rPr>
        <vertAlign val="subscript"/>
        <sz val="12"/>
        <rFont val="Arial"/>
        <family val="2"/>
      </rPr>
      <t>p3</t>
    </r>
    <r>
      <rPr>
        <sz val="10"/>
        <rFont val="Arial"/>
        <family val="2"/>
      </rPr>
      <t/>
    </r>
  </si>
  <si>
    <r>
      <t>b</t>
    </r>
    <r>
      <rPr>
        <sz val="12"/>
        <rFont val="Arial"/>
        <family val="2"/>
      </rPr>
      <t>'</t>
    </r>
    <r>
      <rPr>
        <vertAlign val="subscript"/>
        <sz val="12"/>
        <rFont val="Arial"/>
        <family val="2"/>
      </rPr>
      <t>p4</t>
    </r>
    <r>
      <rPr>
        <sz val="10"/>
        <rFont val="Arial"/>
        <family val="2"/>
      </rPr>
      <t/>
    </r>
  </si>
  <si>
    <r>
      <t>b</t>
    </r>
    <r>
      <rPr>
        <sz val="12"/>
        <rFont val="Arial"/>
        <family val="2"/>
      </rPr>
      <t>'</t>
    </r>
    <r>
      <rPr>
        <vertAlign val="subscript"/>
        <sz val="12"/>
        <rFont val="Arial"/>
        <family val="2"/>
      </rPr>
      <t>p5</t>
    </r>
    <r>
      <rPr>
        <sz val="10"/>
        <rFont val="Arial"/>
        <family val="2"/>
      </rPr>
      <t/>
    </r>
  </si>
  <si>
    <r>
      <t>b</t>
    </r>
    <r>
      <rPr>
        <sz val="12"/>
        <rFont val="Arial"/>
        <family val="2"/>
      </rPr>
      <t>'</t>
    </r>
    <r>
      <rPr>
        <vertAlign val="subscript"/>
        <sz val="12"/>
        <rFont val="Arial"/>
        <family val="2"/>
      </rPr>
      <t>p6</t>
    </r>
    <r>
      <rPr>
        <sz val="10"/>
        <rFont val="Arial"/>
        <family val="2"/>
      </rPr>
      <t/>
    </r>
  </si>
  <si>
    <t xml:space="preserve">           </t>
  </si>
  <si>
    <t>http://nvl.nist.gov/pub/nistpubs/jres/081/1/V81.N01.A03.pdf</t>
  </si>
  <si>
    <t>http://nvl.nist.gov/pub/nistpubs/jres/066/2/V66.N02.A06.pdf</t>
  </si>
  <si>
    <t xml:space="preserve">Measurement of pH. Definitions, Standards and Procedures (IUPAC - 2002) </t>
  </si>
  <si>
    <t>http://www.iupac.org/publications/pac/2002/pdf/7411x2169.pdf</t>
  </si>
  <si>
    <t xml:space="preserve">  Formula</t>
  </si>
  <si>
    <t>NaOH</t>
  </si>
  <si>
    <t>Aminobenzene = aniline</t>
  </si>
  <si>
    <t>C6H7N</t>
  </si>
  <si>
    <t xml:space="preserve">2,3-Dimethylpyridine </t>
  </si>
  <si>
    <t xml:space="preserve">2,4-Dimethylpyridine </t>
  </si>
  <si>
    <t xml:space="preserve">2,5-Dmethylpyridine </t>
  </si>
  <si>
    <t xml:space="preserve">2,6-Dimethylpyridine </t>
  </si>
  <si>
    <t xml:space="preserve">3,4-Dimethylpyridine </t>
  </si>
  <si>
    <t xml:space="preserve">3.5-Dimethylpyridine </t>
  </si>
  <si>
    <t>Hydrazine</t>
  </si>
  <si>
    <t>N2H4</t>
  </si>
  <si>
    <r>
      <t>HCrO</t>
    </r>
    <r>
      <rPr>
        <vertAlign val="subscript"/>
        <sz val="10"/>
        <rFont val="Arial"/>
        <family val="2"/>
      </rPr>
      <t>4</t>
    </r>
    <r>
      <rPr>
        <vertAlign val="superscript"/>
        <sz val="10"/>
        <rFont val="Arial"/>
        <family val="2"/>
      </rPr>
      <t>-</t>
    </r>
    <r>
      <rPr>
        <sz val="10"/>
        <rFont val="Arial"/>
        <family val="2"/>
      </rPr>
      <t xml:space="preserve"> </t>
    </r>
  </si>
  <si>
    <r>
      <t>HSeO</t>
    </r>
    <r>
      <rPr>
        <vertAlign val="subscript"/>
        <sz val="10"/>
        <rFont val="Arial"/>
        <family val="2"/>
      </rPr>
      <t>4</t>
    </r>
    <r>
      <rPr>
        <sz val="10"/>
        <rFont val="Arial"/>
        <family val="2"/>
      </rPr>
      <t xml:space="preserve">- </t>
    </r>
  </si>
  <si>
    <t>Melamine = 1,3,5-triazine-2,4,6-triamine</t>
  </si>
  <si>
    <t>Methionine = (S)-2-amino-4-(methylsulfanyl)-butanoic acid</t>
  </si>
  <si>
    <t>2-Methylaniline = o-touidine = 2-amino-1-methylbenzene</t>
  </si>
  <si>
    <t>C7H9N</t>
  </si>
  <si>
    <t>107.17</t>
  </si>
  <si>
    <t>4-Methylaniline = p-toluidine = 4-amino-1-methylbenzene</t>
  </si>
  <si>
    <t>2-Methylphenol = o-cresol</t>
  </si>
  <si>
    <t>108.14</t>
  </si>
  <si>
    <t>4-Methylphenol = p-cresol</t>
  </si>
  <si>
    <t>p-Periodic acid</t>
  </si>
  <si>
    <r>
      <t>S</t>
    </r>
    <r>
      <rPr>
        <sz val="10"/>
        <rFont val="Arial"/>
        <family val="2"/>
      </rPr>
      <t>z</t>
    </r>
    <r>
      <rPr>
        <vertAlign val="subscript"/>
        <sz val="12"/>
        <rFont val="Arial"/>
        <family val="2"/>
      </rPr>
      <t>i</t>
    </r>
    <r>
      <rPr>
        <sz val="10"/>
        <rFont val="Arial"/>
        <family val="2"/>
      </rPr>
      <t>C</t>
    </r>
    <r>
      <rPr>
        <vertAlign val="subscript"/>
        <sz val="12"/>
        <rFont val="Arial"/>
        <family val="2"/>
      </rPr>
      <t>i</t>
    </r>
  </si>
  <si>
    <r>
      <t>z</t>
    </r>
    <r>
      <rPr>
        <vertAlign val="subscript"/>
        <sz val="12"/>
        <rFont val="Arial"/>
        <family val="2"/>
      </rPr>
      <t>i</t>
    </r>
    <r>
      <rPr>
        <sz val="10"/>
        <rFont val="Arial"/>
        <family val="2"/>
      </rPr>
      <t>C</t>
    </r>
    <r>
      <rPr>
        <vertAlign val="subscript"/>
        <sz val="12"/>
        <rFont val="Arial"/>
        <family val="2"/>
      </rPr>
      <t>i</t>
    </r>
  </si>
  <si>
    <t>[H]</t>
  </si>
  <si>
    <t>(mL)</t>
  </si>
  <si>
    <t>mol/L</t>
  </si>
  <si>
    <r>
      <t>pKa</t>
    </r>
    <r>
      <rPr>
        <vertAlign val="subscript"/>
        <sz val="13"/>
        <rFont val="Arial"/>
        <family val="2"/>
      </rPr>
      <t xml:space="preserve">1 </t>
    </r>
    <r>
      <rPr>
        <sz val="11"/>
        <rFont val="Arial"/>
        <family val="2"/>
      </rPr>
      <t>= logK</t>
    </r>
    <r>
      <rPr>
        <vertAlign val="subscript"/>
        <sz val="13"/>
        <rFont val="Arial"/>
        <family val="2"/>
      </rPr>
      <t>pn</t>
    </r>
  </si>
  <si>
    <r>
      <t>pKa</t>
    </r>
    <r>
      <rPr>
        <vertAlign val="subscript"/>
        <sz val="13"/>
        <rFont val="Arial"/>
        <family val="2"/>
      </rPr>
      <t xml:space="preserve">2 </t>
    </r>
    <r>
      <rPr>
        <sz val="11"/>
        <rFont val="Arial"/>
        <family val="2"/>
      </rPr>
      <t>= logK</t>
    </r>
    <r>
      <rPr>
        <vertAlign val="subscript"/>
        <sz val="13"/>
        <rFont val="Arial"/>
        <family val="2"/>
      </rPr>
      <t>pn-1</t>
    </r>
  </si>
  <si>
    <r>
      <t>pKa</t>
    </r>
    <r>
      <rPr>
        <vertAlign val="subscript"/>
        <sz val="13"/>
        <rFont val="Arial"/>
        <family val="2"/>
      </rPr>
      <t xml:space="preserve">3 </t>
    </r>
    <r>
      <rPr>
        <sz val="11"/>
        <rFont val="Arial"/>
        <family val="2"/>
      </rPr>
      <t>= logK</t>
    </r>
    <r>
      <rPr>
        <vertAlign val="subscript"/>
        <sz val="13"/>
        <rFont val="Arial"/>
        <family val="2"/>
      </rPr>
      <t>pn-2</t>
    </r>
  </si>
  <si>
    <r>
      <t>pKa</t>
    </r>
    <r>
      <rPr>
        <vertAlign val="subscript"/>
        <sz val="13"/>
        <rFont val="Arial"/>
        <family val="2"/>
      </rPr>
      <t xml:space="preserve">4 </t>
    </r>
    <r>
      <rPr>
        <sz val="11"/>
        <rFont val="Arial"/>
        <family val="2"/>
      </rPr>
      <t>= logK</t>
    </r>
    <r>
      <rPr>
        <vertAlign val="subscript"/>
        <sz val="13"/>
        <rFont val="Arial"/>
        <family val="2"/>
      </rPr>
      <t>pn-3</t>
    </r>
  </si>
  <si>
    <r>
      <t>pKa</t>
    </r>
    <r>
      <rPr>
        <vertAlign val="subscript"/>
        <sz val="13"/>
        <rFont val="Arial"/>
        <family val="2"/>
      </rPr>
      <t xml:space="preserve">5 </t>
    </r>
    <r>
      <rPr>
        <sz val="11"/>
        <rFont val="Arial"/>
        <family val="2"/>
      </rPr>
      <t>= logK</t>
    </r>
    <r>
      <rPr>
        <vertAlign val="subscript"/>
        <sz val="13"/>
        <rFont val="Arial"/>
        <family val="2"/>
      </rPr>
      <t>pn-4</t>
    </r>
  </si>
  <si>
    <r>
      <t>pKa</t>
    </r>
    <r>
      <rPr>
        <vertAlign val="subscript"/>
        <sz val="13"/>
        <rFont val="Arial"/>
        <family val="2"/>
      </rPr>
      <t xml:space="preserve">6 </t>
    </r>
    <r>
      <rPr>
        <sz val="11"/>
        <rFont val="Arial"/>
        <family val="2"/>
      </rPr>
      <t>= logK</t>
    </r>
    <r>
      <rPr>
        <vertAlign val="subscript"/>
        <sz val="13"/>
        <rFont val="Arial"/>
        <family val="2"/>
      </rPr>
      <t>pn-5</t>
    </r>
  </si>
  <si>
    <t>pH (-8 a 0)</t>
  </si>
  <si>
    <t/>
  </si>
  <si>
    <r>
      <t xml:space="preserve">  Solution composition - reagents added,</t>
    </r>
    <r>
      <rPr>
        <sz val="11"/>
        <rFont val="Arial"/>
        <family val="2"/>
      </rPr>
      <t xml:space="preserve"> in mol/L</t>
    </r>
  </si>
  <si>
    <t>Acid / Base
Protonation</t>
  </si>
  <si>
    <t>Electrolyte</t>
  </si>
  <si>
    <t>Charge Balance</t>
  </si>
  <si>
    <t>Acid / Base</t>
  </si>
  <si>
    <t>Charge of B</t>
  </si>
  <si>
    <t>Ion charge</t>
  </si>
  <si>
    <t xml:space="preserve"> Davies equation parameters</t>
  </si>
  <si>
    <t xml:space="preserve"> for activity coefficient estimation</t>
  </si>
  <si>
    <t>Color  coding</t>
  </si>
  <si>
    <t xml:space="preserve">D  o     n  o  t     c  h  a  n  g  e </t>
  </si>
  <si>
    <t xml:space="preserve"> C h a n g e   c r i t e r i o u s l y</t>
  </si>
  <si>
    <t>Fill out, change or leave blank</t>
  </si>
  <si>
    <t>Titrand</t>
  </si>
  <si>
    <r>
      <t xml:space="preserve">    </t>
    </r>
    <r>
      <rPr>
        <b/>
        <sz val="10"/>
        <rFont val="Arial"/>
        <family val="2"/>
      </rPr>
      <t>Titrand</t>
    </r>
  </si>
  <si>
    <t>Charge of  B</t>
  </si>
  <si>
    <t>Titrant</t>
  </si>
  <si>
    <t xml:space="preserve">          Titration Data Analysis - Multiple Regression</t>
  </si>
  <si>
    <t>Carbonic ac.</t>
  </si>
  <si>
    <t>Water</t>
  </si>
  <si>
    <t>Sum</t>
  </si>
  <si>
    <t>Dispensed</t>
  </si>
  <si>
    <t>added</t>
  </si>
  <si>
    <t>(initial vol.)</t>
  </si>
  <si>
    <t xml:space="preserve">    Titration speed</t>
  </si>
  <si>
    <t xml:space="preserve">  Slower</t>
  </si>
  <si>
    <t xml:space="preserve">  Faster</t>
  </si>
  <si>
    <t xml:space="preserve"> Data ID on curves</t>
  </si>
  <si>
    <t xml:space="preserve"> Copying curves</t>
  </si>
  <si>
    <t xml:space="preserve"> Resizing axis</t>
  </si>
  <si>
    <t xml:space="preserve"> Other graphics</t>
  </si>
  <si>
    <t xml:space="preserve"> Data analysis</t>
  </si>
  <si>
    <t>Vadd</t>
  </si>
  <si>
    <t>simulated</t>
  </si>
  <si>
    <t>simulated with "error"</t>
  </si>
  <si>
    <r>
      <t>Titrand</t>
    </r>
    <r>
      <rPr>
        <sz val="10"/>
        <rFont val="Arial"/>
        <family val="2"/>
      </rPr>
      <t xml:space="preserve"> (sample)</t>
    </r>
  </si>
  <si>
    <r>
      <t xml:space="preserve">Titrant </t>
    </r>
    <r>
      <rPr>
        <sz val="10"/>
        <rFont val="Arial"/>
        <family val="2"/>
      </rPr>
      <t>(buret)</t>
    </r>
  </si>
  <si>
    <t>Hydroxide ion</t>
  </si>
  <si>
    <t>h1 titrant</t>
  </si>
  <si>
    <t>h2 titrant</t>
  </si>
  <si>
    <t>h3 titrant</t>
  </si>
  <si>
    <r>
      <t xml:space="preserve"> Overall protonation constants = </t>
    </r>
    <r>
      <rPr>
        <b/>
        <sz val="11"/>
        <rFont val="Symbol"/>
        <family val="1"/>
        <charset val="2"/>
      </rPr>
      <t>b</t>
    </r>
    <r>
      <rPr>
        <b/>
        <sz val="11"/>
        <rFont val="Arial"/>
        <family val="2"/>
      </rPr>
      <t xml:space="preserve">p = </t>
    </r>
    <r>
      <rPr>
        <b/>
        <sz val="11"/>
        <rFont val="Symbol"/>
        <family val="1"/>
        <charset val="2"/>
      </rPr>
      <t>S</t>
    </r>
    <r>
      <rPr>
        <b/>
        <sz val="11"/>
        <rFont val="Arial"/>
        <family val="2"/>
      </rPr>
      <t xml:space="preserve">Kp </t>
    </r>
    <r>
      <rPr>
        <sz val="11"/>
        <rFont val="Arial"/>
        <family val="2"/>
      </rPr>
      <t>(calculated by the program)</t>
    </r>
  </si>
  <si>
    <t>Dill. Titrant</t>
  </si>
  <si>
    <t>Dil Titrand</t>
  </si>
  <si>
    <r>
      <t xml:space="preserve">Find endpoints of your real or simulated curves with </t>
    </r>
    <r>
      <rPr>
        <b/>
        <sz val="12"/>
        <rFont val="Arial"/>
        <family val="2"/>
      </rPr>
      <t>Evaluation</t>
    </r>
    <r>
      <rPr>
        <sz val="12"/>
        <rFont val="Arial"/>
        <family val="2"/>
      </rPr>
      <t xml:space="preserve">. There are buttons to load the last titration curve from </t>
    </r>
    <r>
      <rPr>
        <b/>
        <sz val="12"/>
        <rFont val="Arial"/>
        <family val="2"/>
      </rPr>
      <t>Simulation;</t>
    </r>
  </si>
  <si>
    <t>Molar mass</t>
  </si>
  <si>
    <r>
      <t>pKa</t>
    </r>
    <r>
      <rPr>
        <vertAlign val="subscript"/>
        <sz val="13"/>
        <rFont val="Arial"/>
        <family val="2"/>
      </rPr>
      <t>1</t>
    </r>
  </si>
  <si>
    <r>
      <t>pKa</t>
    </r>
    <r>
      <rPr>
        <vertAlign val="subscript"/>
        <sz val="13"/>
        <rFont val="Arial"/>
        <family val="2"/>
      </rPr>
      <t>2</t>
    </r>
  </si>
  <si>
    <r>
      <t>pKa</t>
    </r>
    <r>
      <rPr>
        <vertAlign val="subscript"/>
        <sz val="13"/>
        <rFont val="Arial"/>
        <family val="2"/>
      </rPr>
      <t>3</t>
    </r>
  </si>
  <si>
    <r>
      <t>pKa</t>
    </r>
    <r>
      <rPr>
        <vertAlign val="subscript"/>
        <sz val="13"/>
        <rFont val="Arial"/>
        <family val="2"/>
      </rPr>
      <t>4</t>
    </r>
  </si>
  <si>
    <r>
      <t>pKa</t>
    </r>
    <r>
      <rPr>
        <vertAlign val="subscript"/>
        <sz val="13"/>
        <rFont val="Arial"/>
        <family val="2"/>
      </rPr>
      <t>5</t>
    </r>
  </si>
  <si>
    <r>
      <t>pKa</t>
    </r>
    <r>
      <rPr>
        <vertAlign val="subscript"/>
        <sz val="13"/>
        <rFont val="Arial"/>
        <family val="2"/>
      </rPr>
      <t>6</t>
    </r>
  </si>
  <si>
    <t>Strong ACID</t>
  </si>
  <si>
    <t>Strong BASE</t>
  </si>
  <si>
    <t xml:space="preserve">  Virtual Titrator – Simulation of curves  </t>
  </si>
  <si>
    <t>Sample</t>
  </si>
  <si>
    <t>Click on K2 to Q2; select acids/bases; click on J2; other options, read M1</t>
  </si>
  <si>
    <t>Click on K2 to Q2; select acids/bases; click on J2; read M1</t>
  </si>
  <si>
    <r>
      <t xml:space="preserve">      Interpolation and smoothing</t>
    </r>
    <r>
      <rPr>
        <sz val="12"/>
        <rFont val="Arial"/>
        <family val="2"/>
      </rPr>
      <t xml:space="preserve"> by cubic splines</t>
    </r>
  </si>
  <si>
    <r>
      <t xml:space="preserve">    Evaluation of Real and Simulated Titration Data </t>
    </r>
    <r>
      <rPr>
        <sz val="14"/>
        <color indexed="43"/>
        <rFont val="Arial"/>
        <family val="2"/>
      </rPr>
      <t>by Derivatives with Interpolation</t>
    </r>
  </si>
  <si>
    <t>Interp. Vol.</t>
  </si>
  <si>
    <t>Fitted pH</t>
  </si>
  <si>
    <r>
      <t>d</t>
    </r>
    <r>
      <rPr>
        <b/>
        <vertAlign val="superscript"/>
        <sz val="11"/>
        <rFont val="Arial"/>
        <family val="2"/>
      </rPr>
      <t>2</t>
    </r>
    <r>
      <rPr>
        <b/>
        <sz val="10"/>
        <rFont val="Arial"/>
        <family val="2"/>
      </rPr>
      <t>pH/dV</t>
    </r>
    <r>
      <rPr>
        <b/>
        <vertAlign val="superscript"/>
        <sz val="11"/>
        <rFont val="Arial"/>
        <family val="2"/>
      </rPr>
      <t>2</t>
    </r>
  </si>
  <si>
    <t xml:space="preserve"> (0 to 100%)</t>
  </si>
  <si>
    <t>Interpolated points</t>
  </si>
  <si>
    <t>Initial volume</t>
  </si>
  <si>
    <t>Final volume</t>
  </si>
  <si>
    <t>Minimum</t>
  </si>
  <si>
    <t xml:space="preserve">Degree of smoothing  </t>
  </si>
  <si>
    <r>
      <t xml:space="preserve">    Fitting range</t>
    </r>
    <r>
      <rPr>
        <sz val="10"/>
        <rFont val="Arial"/>
        <family val="2"/>
      </rPr>
      <t xml:space="preserve"> (zoom)</t>
    </r>
  </si>
  <si>
    <t>Vol. Inflection</t>
  </si>
  <si>
    <t>[species]</t>
  </si>
  <si>
    <t xml:space="preserve">Results of the Example: </t>
  </si>
  <si>
    <t>No titration curve</t>
  </si>
  <si>
    <t xml:space="preserve">        Acid/base system</t>
  </si>
  <si>
    <t>Molar fraction of each species during titration</t>
  </si>
  <si>
    <t>alpha 0</t>
  </si>
  <si>
    <t>alpha 1</t>
  </si>
  <si>
    <t>alpha 2</t>
  </si>
  <si>
    <t>alpha 3</t>
  </si>
  <si>
    <t>alpha 4</t>
  </si>
  <si>
    <t>alpha 5</t>
  </si>
  <si>
    <t>alpha 6</t>
  </si>
  <si>
    <t>scaling</t>
  </si>
  <si>
    <t>same</t>
  </si>
  <si>
    <t>logarithm of molar fraction of each species during titration</t>
  </si>
  <si>
    <t>log alpha 0</t>
  </si>
  <si>
    <t>log alpha 1</t>
  </si>
  <si>
    <t>log alpha 2</t>
  </si>
  <si>
    <t>log alpha 3</t>
  </si>
  <si>
    <t>log alpha 4</t>
  </si>
  <si>
    <t>log alpha 5</t>
  </si>
  <si>
    <t>log alpha 6</t>
  </si>
  <si>
    <t>with "error" 
(do not use)</t>
  </si>
  <si>
    <r>
      <t>Version 3.2, released in December 2006, includes a separate</t>
    </r>
    <r>
      <rPr>
        <b/>
        <sz val="12"/>
        <rFont val="Arial"/>
        <family val="2"/>
      </rPr>
      <t xml:space="preserve"> pH_calc</t>
    </r>
    <r>
      <rPr>
        <sz val="12"/>
        <rFont val="Arial"/>
        <family val="2"/>
      </rPr>
      <t xml:space="preserve"> module with activity coefficient estimation.</t>
    </r>
  </si>
  <si>
    <r>
      <t xml:space="preserve">     Titrand (sample) and titrant (standard) composition </t>
    </r>
    <r>
      <rPr>
        <sz val="11"/>
        <rFont val="Arial"/>
        <family val="2"/>
      </rPr>
      <t>(concentrations in mol/L)</t>
    </r>
  </si>
  <si>
    <t xml:space="preserve">             pKa(n) = -log Kd(HB--&gt;B) = log Kp(1)</t>
  </si>
  <si>
    <t xml:space="preserve"> Fill out concentrations; Enter; Click button B18.</t>
  </si>
  <si>
    <t>Click on J2 to use these pKas in the pH calculation</t>
  </si>
  <si>
    <r>
      <t xml:space="preserve">       pKa</t>
    </r>
    <r>
      <rPr>
        <sz val="11"/>
        <rFont val="Arial"/>
        <family val="2"/>
      </rPr>
      <t xml:space="preserve">s loaded from the Database </t>
    </r>
  </si>
  <si>
    <t>Click on J2 to use these pKas in the Regression</t>
  </si>
  <si>
    <t>Click on J2 to use these pKas in the Simulation</t>
  </si>
  <si>
    <t xml:space="preserve">max. free H </t>
  </si>
  <si>
    <t>Larger compilations of equilibrium constants and examples of on-line literature on acid-base equilibrium</t>
  </si>
  <si>
    <r>
      <t xml:space="preserve"> Overall protonation constants = </t>
    </r>
    <r>
      <rPr>
        <sz val="12"/>
        <rFont val="Symbol"/>
        <family val="1"/>
        <charset val="2"/>
      </rPr>
      <t>b</t>
    </r>
    <r>
      <rPr>
        <vertAlign val="subscript"/>
        <sz val="12"/>
        <rFont val="Arial"/>
        <family val="2"/>
      </rPr>
      <t>p</t>
    </r>
    <r>
      <rPr>
        <sz val="10"/>
        <rFont val="Arial"/>
        <family val="2"/>
      </rPr>
      <t xml:space="preserve"> = </t>
    </r>
    <r>
      <rPr>
        <sz val="12"/>
        <rFont val="Symbol"/>
        <family val="1"/>
        <charset val="2"/>
      </rPr>
      <t>S</t>
    </r>
    <r>
      <rPr>
        <sz val="12"/>
        <rFont val="Arial"/>
        <family val="2"/>
      </rPr>
      <t>K</t>
    </r>
    <r>
      <rPr>
        <vertAlign val="subscript"/>
        <sz val="14"/>
        <rFont val="Arial"/>
        <family val="2"/>
      </rPr>
      <t>p</t>
    </r>
  </si>
  <si>
    <r>
      <t>measured</t>
    </r>
    <r>
      <rPr>
        <b/>
        <sz val="10"/>
        <rFont val="Arial"/>
        <family val="2"/>
      </rPr>
      <t xml:space="preserve"> pH</t>
    </r>
  </si>
  <si>
    <t>Dimethylglyoxime</t>
  </si>
  <si>
    <t xml:space="preserve">  Correction of the pH sensor calibration</t>
  </si>
  <si>
    <t>den1</t>
  </si>
  <si>
    <t>den2</t>
  </si>
  <si>
    <t>den3</t>
  </si>
  <si>
    <t>den4</t>
  </si>
  <si>
    <t>den5</t>
  </si>
  <si>
    <t>den6</t>
  </si>
  <si>
    <t>den7</t>
  </si>
  <si>
    <t>den1 titrant</t>
  </si>
  <si>
    <t>den2 titrant</t>
  </si>
  <si>
    <t>den3 titrant</t>
  </si>
  <si>
    <r>
      <t>I</t>
    </r>
    <r>
      <rPr>
        <b/>
        <sz val="10"/>
        <rFont val="Arial"/>
        <family val="2"/>
      </rPr>
      <t>1</t>
    </r>
  </si>
  <si>
    <r>
      <t>I</t>
    </r>
    <r>
      <rPr>
        <b/>
        <sz val="10"/>
        <rFont val="Arial"/>
        <family val="2"/>
      </rPr>
      <t>2</t>
    </r>
    <r>
      <rPr>
        <sz val="10"/>
        <rFont val="Arial"/>
        <family val="2"/>
      </rPr>
      <t/>
    </r>
  </si>
  <si>
    <r>
      <t>I</t>
    </r>
    <r>
      <rPr>
        <b/>
        <sz val="10"/>
        <rFont val="Arial"/>
        <family val="2"/>
      </rPr>
      <t>3</t>
    </r>
    <r>
      <rPr>
        <sz val="10"/>
        <rFont val="Arial"/>
        <family val="2"/>
      </rPr>
      <t/>
    </r>
  </si>
  <si>
    <r>
      <t>I</t>
    </r>
    <r>
      <rPr>
        <b/>
        <sz val="10"/>
        <rFont val="Arial"/>
        <family val="2"/>
      </rPr>
      <t>4</t>
    </r>
    <r>
      <rPr>
        <sz val="10"/>
        <rFont val="Arial"/>
        <family val="2"/>
      </rPr>
      <t/>
    </r>
  </si>
  <si>
    <r>
      <t>I</t>
    </r>
    <r>
      <rPr>
        <b/>
        <sz val="10"/>
        <rFont val="Arial"/>
        <family val="2"/>
      </rPr>
      <t>5</t>
    </r>
    <r>
      <rPr>
        <sz val="10"/>
        <rFont val="Arial"/>
        <family val="2"/>
      </rPr>
      <t/>
    </r>
  </si>
  <si>
    <r>
      <t>I</t>
    </r>
    <r>
      <rPr>
        <b/>
        <sz val="10"/>
        <rFont val="Arial"/>
        <family val="2"/>
      </rPr>
      <t>6</t>
    </r>
    <r>
      <rPr>
        <sz val="10"/>
        <rFont val="Arial"/>
        <family val="2"/>
      </rPr>
      <t/>
    </r>
  </si>
  <si>
    <r>
      <t>I</t>
    </r>
    <r>
      <rPr>
        <b/>
        <sz val="10"/>
        <rFont val="Arial"/>
        <family val="2"/>
      </rPr>
      <t>7</t>
    </r>
    <r>
      <rPr>
        <sz val="10"/>
        <rFont val="Arial"/>
        <family val="2"/>
      </rPr>
      <t/>
    </r>
  </si>
  <si>
    <r>
      <t>I</t>
    </r>
    <r>
      <rPr>
        <b/>
        <sz val="10"/>
        <rFont val="Arial"/>
        <family val="2"/>
      </rPr>
      <t>1 titrant</t>
    </r>
  </si>
  <si>
    <r>
      <t>I</t>
    </r>
    <r>
      <rPr>
        <b/>
        <sz val="10"/>
        <rFont val="Arial"/>
        <family val="2"/>
      </rPr>
      <t>2 titrant</t>
    </r>
  </si>
  <si>
    <r>
      <t>I</t>
    </r>
    <r>
      <rPr>
        <b/>
        <sz val="10"/>
        <rFont val="Arial"/>
        <family val="2"/>
      </rPr>
      <t>3 titrant</t>
    </r>
  </si>
  <si>
    <r>
      <t>CH</t>
    </r>
    <r>
      <rPr>
        <sz val="8"/>
        <rFont val="Arial"/>
        <family val="2"/>
      </rPr>
      <t>Reg</t>
    </r>
  </si>
  <si>
    <t>Counterion charge</t>
  </si>
  <si>
    <r>
      <rPr>
        <sz val="10"/>
        <rFont val="Arial"/>
        <family val="2"/>
      </rPr>
      <t xml:space="preserve">and </t>
    </r>
    <r>
      <rPr>
        <sz val="12"/>
        <rFont val="Symbol"/>
        <family val="1"/>
        <charset val="2"/>
      </rPr>
      <t xml:space="preserve">g </t>
    </r>
    <r>
      <rPr>
        <sz val="11"/>
        <rFont val="Arial"/>
        <family val="2"/>
      </rPr>
      <t>H</t>
    </r>
    <r>
      <rPr>
        <vertAlign val="superscript"/>
        <sz val="12"/>
        <rFont val="Arial"/>
        <family val="2"/>
      </rPr>
      <t>+</t>
    </r>
    <r>
      <rPr>
        <sz val="12"/>
        <rFont val="Arial"/>
        <family val="2"/>
      </rPr>
      <t>=</t>
    </r>
  </si>
  <si>
    <r>
      <t>S</t>
    </r>
    <r>
      <rPr>
        <sz val="10"/>
        <rFont val="Arial"/>
        <family val="2"/>
      </rPr>
      <t>z</t>
    </r>
    <r>
      <rPr>
        <vertAlign val="subscript"/>
        <sz val="12"/>
        <rFont val="Arial"/>
        <family val="2"/>
      </rPr>
      <t>i</t>
    </r>
    <r>
      <rPr>
        <vertAlign val="superscript"/>
        <sz val="12"/>
        <rFont val="Arial"/>
        <family val="2"/>
      </rPr>
      <t>2</t>
    </r>
    <r>
      <rPr>
        <sz val="10"/>
        <rFont val="Arial"/>
        <family val="2"/>
      </rPr>
      <t>C</t>
    </r>
    <r>
      <rPr>
        <vertAlign val="subscript"/>
        <sz val="12"/>
        <rFont val="Arial"/>
        <family val="2"/>
      </rPr>
      <t>i</t>
    </r>
  </si>
  <si>
    <t>Titrant ions</t>
  </si>
  <si>
    <t>Acid/base ions</t>
  </si>
  <si>
    <r>
      <rPr>
        <sz val="10"/>
        <rFont val="Symbol"/>
        <family val="1"/>
        <charset val="2"/>
      </rPr>
      <t>S</t>
    </r>
    <r>
      <rPr>
        <sz val="10"/>
        <rFont val="Arial"/>
        <family val="2"/>
      </rPr>
      <t>z</t>
    </r>
    <r>
      <rPr>
        <vertAlign val="subscript"/>
        <sz val="12"/>
        <rFont val="Arial"/>
        <family val="2"/>
      </rPr>
      <t>i</t>
    </r>
    <r>
      <rPr>
        <sz val="10"/>
        <rFont val="Arial"/>
        <family val="2"/>
      </rPr>
      <t>C</t>
    </r>
    <r>
      <rPr>
        <vertAlign val="subscript"/>
        <sz val="12"/>
        <rFont val="Arial"/>
        <family val="2"/>
      </rPr>
      <t>i</t>
    </r>
  </si>
  <si>
    <r>
      <rPr>
        <sz val="10"/>
        <rFont val="Symbol"/>
        <family val="1"/>
        <charset val="2"/>
      </rPr>
      <t>S</t>
    </r>
    <r>
      <rPr>
        <sz val="10"/>
        <rFont val="Arial"/>
        <family val="2"/>
      </rPr>
      <t>z</t>
    </r>
    <r>
      <rPr>
        <vertAlign val="subscript"/>
        <sz val="12"/>
        <rFont val="Arial"/>
        <family val="2"/>
      </rPr>
      <t>j</t>
    </r>
    <r>
      <rPr>
        <sz val="10"/>
        <rFont val="Arial"/>
        <family val="2"/>
      </rPr>
      <t>C</t>
    </r>
    <r>
      <rPr>
        <vertAlign val="subscript"/>
        <sz val="12"/>
        <rFont val="Arial"/>
        <family val="2"/>
      </rPr>
      <t>j</t>
    </r>
  </si>
  <si>
    <r>
      <t>S</t>
    </r>
    <r>
      <rPr>
        <sz val="10"/>
        <rFont val="Arial"/>
        <family val="2"/>
      </rPr>
      <t>C</t>
    </r>
    <r>
      <rPr>
        <vertAlign val="subscript"/>
        <sz val="12"/>
        <rFont val="Arial"/>
        <family val="2"/>
      </rPr>
      <t>k(</t>
    </r>
    <r>
      <rPr>
        <vertAlign val="subscript"/>
        <sz val="14"/>
        <rFont val="Arial"/>
        <family val="2"/>
      </rPr>
      <t>z=1</t>
    </r>
    <r>
      <rPr>
        <vertAlign val="subscript"/>
        <sz val="12"/>
        <rFont val="Arial"/>
        <family val="2"/>
      </rPr>
      <t>)</t>
    </r>
  </si>
  <si>
    <r>
      <t>S</t>
    </r>
    <r>
      <rPr>
        <sz val="10"/>
        <rFont val="Arial"/>
        <family val="2"/>
      </rPr>
      <t>C</t>
    </r>
    <r>
      <rPr>
        <vertAlign val="subscript"/>
        <sz val="12"/>
        <rFont val="Arial"/>
        <family val="2"/>
      </rPr>
      <t>k(</t>
    </r>
    <r>
      <rPr>
        <vertAlign val="subscript"/>
        <sz val="14"/>
        <rFont val="Arial"/>
        <family val="2"/>
      </rPr>
      <t>z=2</t>
    </r>
    <r>
      <rPr>
        <vertAlign val="subscript"/>
        <sz val="12"/>
        <rFont val="Arial"/>
        <family val="2"/>
      </rPr>
      <t>)</t>
    </r>
  </si>
  <si>
    <t>(z = ion charge)</t>
  </si>
  <si>
    <r>
      <t>Total</t>
    </r>
    <r>
      <rPr>
        <sz val="10"/>
        <rFont val="Bookman Old Style"/>
        <family val="1"/>
      </rPr>
      <t xml:space="preserve"> I </t>
    </r>
  </si>
  <si>
    <r>
      <t>[H</t>
    </r>
    <r>
      <rPr>
        <vertAlign val="superscript"/>
        <sz val="12"/>
        <rFont val="Arial"/>
        <family val="2"/>
      </rPr>
      <t>+</t>
    </r>
    <r>
      <rPr>
        <sz val="10"/>
        <rFont val="Arial"/>
        <family val="2"/>
      </rPr>
      <t>]</t>
    </r>
  </si>
  <si>
    <t>for acids/bases</t>
  </si>
  <si>
    <t>of counter-ions</t>
  </si>
  <si>
    <t>Other ions</t>
  </si>
  <si>
    <r>
      <rPr>
        <sz val="10"/>
        <rFont val="Arial"/>
        <family val="2"/>
      </rPr>
      <t>1/2.</t>
    </r>
    <r>
      <rPr>
        <sz val="10"/>
        <rFont val="Symbol"/>
        <family val="1"/>
        <charset val="2"/>
      </rPr>
      <t>S</t>
    </r>
    <r>
      <rPr>
        <sz val="10"/>
        <rFont val="Arial"/>
        <family val="2"/>
      </rPr>
      <t>C</t>
    </r>
    <r>
      <rPr>
        <vertAlign val="subscript"/>
        <sz val="12"/>
        <rFont val="Arial"/>
        <family val="2"/>
      </rPr>
      <t>j</t>
    </r>
    <r>
      <rPr>
        <sz val="10"/>
        <rFont val="Arial"/>
        <family val="2"/>
      </rPr>
      <t>z</t>
    </r>
    <r>
      <rPr>
        <vertAlign val="subscript"/>
        <sz val="12"/>
        <rFont val="Arial"/>
        <family val="2"/>
      </rPr>
      <t>j</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j</t>
    </r>
  </si>
  <si>
    <r>
      <rPr>
        <sz val="10"/>
        <rFont val="Arial"/>
        <family val="2"/>
      </rPr>
      <t>1/2.</t>
    </r>
    <r>
      <rPr>
        <sz val="10"/>
        <rFont val="Symbol"/>
        <family val="1"/>
        <charset val="2"/>
      </rPr>
      <t>S</t>
    </r>
    <r>
      <rPr>
        <sz val="10"/>
        <rFont val="Arial"/>
        <family val="2"/>
      </rPr>
      <t>C</t>
    </r>
    <r>
      <rPr>
        <vertAlign val="subscript"/>
        <sz val="12"/>
        <rFont val="Arial"/>
        <family val="2"/>
      </rPr>
      <t>k</t>
    </r>
    <r>
      <rPr>
        <sz val="10"/>
        <rFont val="Arial"/>
        <family val="2"/>
      </rPr>
      <t>z</t>
    </r>
    <r>
      <rPr>
        <vertAlign val="subscript"/>
        <sz val="12"/>
        <rFont val="Arial"/>
        <family val="2"/>
      </rPr>
      <t>k</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k</t>
    </r>
  </si>
  <si>
    <t>at given pH</t>
  </si>
  <si>
    <r>
      <rPr>
        <sz val="8"/>
        <rFont val="Arial"/>
        <family val="2"/>
      </rPr>
      <t>1/2</t>
    </r>
    <r>
      <rPr>
        <sz val="10"/>
        <rFont val="Arial"/>
        <family val="2"/>
      </rPr>
      <t>.</t>
    </r>
    <r>
      <rPr>
        <sz val="10"/>
        <rFont val="Symbol"/>
        <family val="1"/>
        <charset val="2"/>
      </rPr>
      <t>S</t>
    </r>
    <r>
      <rPr>
        <sz val="10"/>
        <rFont val="Arial"/>
        <family val="2"/>
      </rPr>
      <t>C</t>
    </r>
    <r>
      <rPr>
        <vertAlign val="subscript"/>
        <sz val="12"/>
        <rFont val="Arial"/>
        <family val="2"/>
      </rPr>
      <t>i</t>
    </r>
    <r>
      <rPr>
        <sz val="10"/>
        <rFont val="Arial"/>
        <family val="2"/>
      </rPr>
      <t>z</t>
    </r>
    <r>
      <rPr>
        <vertAlign val="subscript"/>
        <sz val="12"/>
        <rFont val="Arial"/>
        <family val="2"/>
      </rPr>
      <t>i</t>
    </r>
    <r>
      <rPr>
        <vertAlign val="superscript"/>
        <sz val="12"/>
        <rFont val="Arial"/>
        <family val="2"/>
      </rPr>
      <t>2</t>
    </r>
    <r>
      <rPr>
        <sz val="12"/>
        <rFont val="Arial"/>
        <family val="2"/>
      </rPr>
      <t xml:space="preserve"> =</t>
    </r>
    <r>
      <rPr>
        <sz val="12"/>
        <rFont val="Bookman Old Style"/>
        <family val="1"/>
      </rPr>
      <t xml:space="preserve"> </t>
    </r>
    <r>
      <rPr>
        <sz val="10"/>
        <rFont val="Bookman Old Style"/>
        <family val="1"/>
      </rPr>
      <t>I</t>
    </r>
    <r>
      <rPr>
        <vertAlign val="subscript"/>
        <sz val="12"/>
        <rFont val="Arial"/>
        <family val="2"/>
      </rPr>
      <t>i</t>
    </r>
  </si>
  <si>
    <t xml:space="preserve"> Slope (may be fitted, read comment)</t>
  </si>
  <si>
    <r>
      <t xml:space="preserve">        </t>
    </r>
    <r>
      <rPr>
        <b/>
        <sz val="10"/>
        <rFont val="Arial"/>
        <family val="2"/>
      </rPr>
      <t xml:space="preserve">Ionic Strength, </t>
    </r>
    <r>
      <rPr>
        <b/>
        <sz val="10"/>
        <rFont val="Bookman Old Style"/>
        <family val="1"/>
      </rPr>
      <t>I</t>
    </r>
    <r>
      <rPr>
        <sz val="10"/>
        <rFont val="Arial"/>
        <family val="2"/>
      </rPr>
      <t xml:space="preserve"> (initial)</t>
    </r>
  </si>
  <si>
    <r>
      <t>[OH</t>
    </r>
    <r>
      <rPr>
        <vertAlign val="superscript"/>
        <sz val="12"/>
        <rFont val="Arial"/>
        <family val="2"/>
      </rPr>
      <t>-</t>
    </r>
    <r>
      <rPr>
        <sz val="10"/>
        <rFont val="Arial"/>
        <family val="2"/>
      </rPr>
      <t>]</t>
    </r>
  </si>
  <si>
    <t xml:space="preserve"> Intersection pH (may be fitted)</t>
  </si>
  <si>
    <t>simulated or</t>
  </si>
  <si>
    <r>
      <t>calculated</t>
    </r>
    <r>
      <rPr>
        <b/>
        <sz val="10"/>
        <rFont val="Arial"/>
        <family val="2"/>
      </rPr>
      <t xml:space="preserve"> pH</t>
    </r>
  </si>
  <si>
    <t>from regression</t>
  </si>
  <si>
    <t>Save your data, settings and results in Curtipot_anyname.xls files to preserve the original software (optionally deleting unused spreadsheets, with exception of this first one);</t>
  </si>
  <si>
    <r>
      <t xml:space="preserve">Version 3.0 for Excel, an evolution of the DOS version with added </t>
    </r>
    <r>
      <rPr>
        <b/>
        <sz val="12"/>
        <rFont val="Arial"/>
        <family val="2"/>
      </rPr>
      <t>Regression</t>
    </r>
    <r>
      <rPr>
        <sz val="12"/>
        <rFont val="Arial"/>
        <family val="2"/>
      </rPr>
      <t xml:space="preserve"> module was released in 2006 (in Portuguese).</t>
    </r>
  </si>
  <si>
    <r>
      <rPr>
        <sz val="12"/>
        <rFont val="Symbol"/>
        <family val="1"/>
        <charset val="2"/>
      </rPr>
      <t>a</t>
    </r>
    <r>
      <rPr>
        <sz val="10"/>
        <rFont val="Arial"/>
        <family val="2"/>
      </rPr>
      <t xml:space="preserve"> B</t>
    </r>
  </si>
  <si>
    <r>
      <rPr>
        <sz val="12"/>
        <rFont val="Symbol"/>
        <family val="1"/>
        <charset val="2"/>
      </rPr>
      <t>a</t>
    </r>
    <r>
      <rPr>
        <sz val="10"/>
        <rFont val="Symbol"/>
        <family val="1"/>
        <charset val="2"/>
      </rPr>
      <t xml:space="preserve"> </t>
    </r>
    <r>
      <rPr>
        <sz val="10"/>
        <rFont val="Arial"/>
        <family val="2"/>
      </rPr>
      <t>HB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</si>
  <si>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2</t>
    </r>
    <r>
      <rPr>
        <sz val="10"/>
        <rFont val="Arial"/>
        <family val="2"/>
      </rPr>
      <t>B</t>
    </r>
  </si>
  <si>
    <r>
      <rPr>
        <sz val="12"/>
        <rFont val="Symbol"/>
        <family val="1"/>
        <charset val="2"/>
      </rPr>
      <t>a</t>
    </r>
    <r>
      <rPr>
        <sz val="10"/>
        <rFont val="Arial"/>
        <family val="2"/>
      </rPr>
      <t xml:space="preserve"> H</t>
    </r>
    <r>
      <rPr>
        <vertAlign val="subscript"/>
        <sz val="12"/>
        <rFont val="Arial"/>
        <family val="2"/>
      </rPr>
      <t>3</t>
    </r>
    <r>
      <rPr>
        <sz val="10"/>
        <rFont val="Arial"/>
        <family val="2"/>
      </rPr>
      <t>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</si>
  <si>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4</t>
    </r>
    <r>
      <rPr>
        <sz val="10"/>
        <rFont val="Arial"/>
        <family val="2"/>
      </rPr>
      <t>B</t>
    </r>
  </si>
  <si>
    <r>
      <rPr>
        <sz val="12"/>
        <rFont val="Symbol"/>
        <family val="1"/>
        <charset val="2"/>
      </rPr>
      <t>a</t>
    </r>
    <r>
      <rPr>
        <sz val="10"/>
        <rFont val="Arial"/>
        <family val="2"/>
      </rPr>
      <t xml:space="preserve"> H</t>
    </r>
    <r>
      <rPr>
        <vertAlign val="subscript"/>
        <sz val="12"/>
        <rFont val="Arial"/>
        <family val="2"/>
      </rPr>
      <t>5</t>
    </r>
    <r>
      <rPr>
        <sz val="10"/>
        <rFont val="Arial"/>
        <family val="2"/>
      </rPr>
      <t>B</t>
    </r>
  </si>
  <si>
    <r>
      <rPr>
        <sz val="12"/>
        <rFont val="Symbol"/>
        <family val="1"/>
        <charset val="2"/>
      </rPr>
      <t>a</t>
    </r>
    <r>
      <rPr>
        <sz val="10"/>
        <rFont val="Arial"/>
        <family val="2"/>
      </rPr>
      <t xml:space="preserve"> H</t>
    </r>
    <r>
      <rPr>
        <vertAlign val="subscript"/>
        <sz val="12"/>
        <rFont val="Arial"/>
        <family val="2"/>
      </rPr>
      <t>6</t>
    </r>
    <r>
      <rPr>
        <sz val="10"/>
        <rFont val="Arial"/>
        <family val="2"/>
      </rPr>
      <t>B</t>
    </r>
  </si>
  <si>
    <t>&lt;--- read comment</t>
  </si>
  <si>
    <t>&lt;--- read important remarks and instructions</t>
  </si>
  <si>
    <t>&lt;--- read instructions</t>
  </si>
  <si>
    <r>
      <t>Update curve(s)</t>
    </r>
    <r>
      <rPr>
        <sz val="10"/>
        <color indexed="23"/>
        <rFont val="Arial"/>
        <family val="2"/>
      </rPr>
      <t xml:space="preserve"> after any change in Simulation, Evaluation or Regression </t>
    </r>
  </si>
  <si>
    <r>
      <t>a</t>
    </r>
    <r>
      <rPr>
        <vertAlign val="subscript"/>
        <sz val="13"/>
        <rFont val="Symbol"/>
        <family val="1"/>
        <charset val="2"/>
      </rPr>
      <t xml:space="preserve"> </t>
    </r>
    <r>
      <rPr>
        <vertAlign val="subscript"/>
        <sz val="13"/>
        <rFont val="Arial"/>
        <family val="2"/>
      </rPr>
      <t>OH-</t>
    </r>
  </si>
  <si>
    <r>
      <t xml:space="preserve">g </t>
    </r>
    <r>
      <rPr>
        <sz val="11"/>
        <rFont val="Arial"/>
        <family val="2"/>
      </rPr>
      <t>OH</t>
    </r>
    <r>
      <rPr>
        <vertAlign val="superscript"/>
        <sz val="11"/>
        <rFont val="Arial"/>
        <family val="2"/>
      </rPr>
      <t>-</t>
    </r>
  </si>
  <si>
    <t>Buffer</t>
  </si>
  <si>
    <t>Capacity</t>
  </si>
  <si>
    <t>pH (-6 a 0)</t>
  </si>
  <si>
    <t>n*pH/6</t>
  </si>
  <si>
    <t>n*pH/8</t>
  </si>
  <si>
    <r>
      <t xml:space="preserve">•  </t>
    </r>
    <r>
      <rPr>
        <b/>
        <sz val="13"/>
        <rFont val="Arial"/>
        <family val="2"/>
      </rPr>
      <t>pH calculation</t>
    </r>
    <r>
      <rPr>
        <sz val="13"/>
        <rFont val="Arial"/>
        <family val="2"/>
      </rPr>
      <t xml:space="preserve"> of aqueous solutions with activity coefficient and buffer capacity estimation (mixtures of up to seven hexaprotic systems)</t>
    </r>
  </si>
  <si>
    <t>Member of the Brazilian Academy of Sciences</t>
  </si>
  <si>
    <r>
      <rPr>
        <b/>
        <sz val="18"/>
        <rFont val="Bookman Old Style"/>
        <family val="1"/>
      </rPr>
      <t>CurTiPot</t>
    </r>
    <r>
      <rPr>
        <b/>
        <sz val="14"/>
        <rFont val="Arial"/>
        <family val="2"/>
      </rPr>
      <t xml:space="preserve"> </t>
    </r>
    <r>
      <rPr>
        <b/>
        <sz val="16"/>
        <rFont val="Arial"/>
        <family val="2"/>
      </rPr>
      <t>main features and uses</t>
    </r>
    <r>
      <rPr>
        <b/>
        <sz val="14"/>
        <rFont val="Arial"/>
        <family val="2"/>
      </rPr>
      <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</si>
  <si>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</si>
  <si>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</si>
  <si>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</si>
  <si>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</si>
  <si>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t>or p[H]=</t>
  </si>
  <si>
    <t>"pOH"</t>
  </si>
  <si>
    <r>
      <t>z</t>
    </r>
    <r>
      <rPr>
        <vertAlign val="subscript"/>
        <sz val="12"/>
        <rFont val="Arial"/>
        <family val="2"/>
      </rPr>
      <t>m</t>
    </r>
  </si>
  <si>
    <r>
      <t>h</t>
    </r>
    <r>
      <rPr>
        <vertAlign val="subscript"/>
        <sz val="12"/>
        <rFont val="Arial"/>
        <family val="2"/>
      </rPr>
      <t>m</t>
    </r>
  </si>
  <si>
    <t xml:space="preserve">     Buffer Strength</t>
  </si>
  <si>
    <r>
      <t xml:space="preserve">    </t>
    </r>
    <r>
      <rPr>
        <b/>
        <sz val="11"/>
        <rFont val="Arial"/>
        <family val="2"/>
      </rPr>
      <t xml:space="preserve">Ionic strength </t>
    </r>
    <r>
      <rPr>
        <sz val="11"/>
        <rFont val="Arial"/>
        <family val="2"/>
      </rPr>
      <t xml:space="preserve">(mol/L)     </t>
    </r>
  </si>
  <si>
    <t>vs</t>
  </si>
  <si>
    <r>
      <t>z</t>
    </r>
    <r>
      <rPr>
        <vertAlign val="subscript"/>
        <sz val="14"/>
        <rFont val="Arial"/>
        <family val="2"/>
      </rPr>
      <t>m</t>
    </r>
  </si>
  <si>
    <t>z+N.pH/14</t>
  </si>
  <si>
    <t>Mean charge of species HiB</t>
  </si>
  <si>
    <t>scale</t>
  </si>
  <si>
    <r>
      <t xml:space="preserve"> Mean charge (z</t>
    </r>
    <r>
      <rPr>
        <b/>
        <vertAlign val="subscript"/>
        <sz val="12"/>
        <rFont val="Arial"/>
        <family val="2"/>
      </rPr>
      <t>m</t>
    </r>
    <r>
      <rPr>
        <b/>
        <sz val="11"/>
        <rFont val="Arial"/>
        <family val="2"/>
      </rPr>
      <t>) and mean protonation (h</t>
    </r>
    <r>
      <rPr>
        <b/>
        <vertAlign val="subscript"/>
        <sz val="12"/>
        <rFont val="Arial"/>
        <family val="2"/>
      </rPr>
      <t>m</t>
    </r>
    <r>
      <rPr>
        <b/>
        <sz val="11"/>
        <rFont val="Arial"/>
        <family val="2"/>
      </rPr>
      <t>) of the equilibrium H</t>
    </r>
    <r>
      <rPr>
        <b/>
        <vertAlign val="subscript"/>
        <sz val="14"/>
        <rFont val="Arial"/>
        <family val="2"/>
      </rPr>
      <t>i</t>
    </r>
    <r>
      <rPr>
        <b/>
        <sz val="11"/>
        <rFont val="Arial"/>
        <family val="2"/>
      </rPr>
      <t>B  species at pH</t>
    </r>
  </si>
  <si>
    <r>
      <t>mol.L</t>
    </r>
    <r>
      <rPr>
        <vertAlign val="superscript"/>
        <sz val="12"/>
        <rFont val="Arial"/>
        <family val="2"/>
      </rPr>
      <t>-1</t>
    </r>
    <r>
      <rPr>
        <sz val="11"/>
        <rFont val="Arial"/>
        <family val="2"/>
      </rPr>
      <t>.pH</t>
    </r>
    <r>
      <rPr>
        <vertAlign val="superscript"/>
        <sz val="12"/>
        <rFont val="Arial"/>
        <family val="2"/>
      </rPr>
      <t>-1</t>
    </r>
  </si>
  <si>
    <r>
      <t xml:space="preserve">   Buffer Capacity (Buffer Index, </t>
    </r>
    <r>
      <rPr>
        <b/>
        <sz val="11"/>
        <rFont val="Symbol"/>
        <family val="1"/>
        <charset val="2"/>
      </rPr>
      <t>D</t>
    </r>
    <r>
      <rPr>
        <b/>
        <sz val="11"/>
        <rFont val="Arial"/>
        <family val="2"/>
      </rPr>
      <t>C/</t>
    </r>
    <r>
      <rPr>
        <sz val="11"/>
        <rFont val="Symbol"/>
        <family val="1"/>
        <charset val="2"/>
      </rPr>
      <t>D</t>
    </r>
    <r>
      <rPr>
        <b/>
        <sz val="11"/>
        <rFont val="Arial"/>
        <family val="2"/>
      </rPr>
      <t>pH)</t>
    </r>
  </si>
  <si>
    <t>Do not change or delete</t>
  </si>
  <si>
    <t>Dil. factor</t>
  </si>
  <si>
    <t>Dil. Factor</t>
  </si>
  <si>
    <t>Temperature</t>
  </si>
  <si>
    <t>Ionic strength</t>
  </si>
  <si>
    <t>for pH</t>
  </si>
  <si>
    <t xml:space="preserve">for pH </t>
  </si>
  <si>
    <t xml:space="preserve">   Stepwise apparent constants recalculated for I </t>
  </si>
  <si>
    <t xml:space="preserve">and I </t>
  </si>
  <si>
    <t>Fellow of the International Union of Pure and Applied Chemistry</t>
  </si>
  <si>
    <r>
      <t>Version 3.5, Jan/Feb 2010, calculates Buffer Capacity (BC) and medium charge (z</t>
    </r>
    <r>
      <rPr>
        <vertAlign val="subscript"/>
        <sz val="14"/>
        <rFont val="Arial"/>
        <family val="2"/>
      </rPr>
      <t>m</t>
    </r>
    <r>
      <rPr>
        <sz val="12"/>
        <rFont val="Arial"/>
        <family val="2"/>
      </rPr>
      <t>) (pH_calc module) and plots BC and z</t>
    </r>
    <r>
      <rPr>
        <vertAlign val="subscript"/>
        <sz val="14"/>
        <rFont val="Arial"/>
        <family val="2"/>
      </rPr>
      <t>m</t>
    </r>
    <r>
      <rPr>
        <sz val="12"/>
        <rFont val="Arial"/>
        <family val="2"/>
      </rPr>
      <t xml:space="preserve"> and finds the isoelectric point (Distribution module).</t>
    </r>
  </si>
  <si>
    <r>
      <t xml:space="preserve">Play and learn with the </t>
    </r>
    <r>
      <rPr>
        <b/>
        <sz val="12"/>
        <rFont val="Arial"/>
        <family val="2"/>
      </rPr>
      <t>Distribution</t>
    </r>
    <r>
      <rPr>
        <sz val="12"/>
        <rFont val="Arial"/>
        <family val="2"/>
      </rPr>
      <t xml:space="preserve"> module; enjoy the </t>
    </r>
    <r>
      <rPr>
        <b/>
        <sz val="12"/>
        <rFont val="Arial"/>
        <family val="2"/>
      </rPr>
      <t>Graphs</t>
    </r>
    <r>
      <rPr>
        <sz val="12"/>
        <rFont val="Arial"/>
        <family val="2"/>
      </rPr>
      <t xml:space="preserve"> before you advance to the less simple but more powerful </t>
    </r>
    <r>
      <rPr>
        <b/>
        <sz val="12"/>
        <rFont val="Arial"/>
        <family val="2"/>
      </rPr>
      <t>Regression</t>
    </r>
    <r>
      <rPr>
        <sz val="12"/>
        <rFont val="Arial"/>
        <family val="2"/>
      </rPr>
      <t xml:space="preserve"> module to fit concentrations and pKas;</t>
    </r>
  </si>
  <si>
    <r>
      <t xml:space="preserve">The software </t>
    </r>
    <r>
      <rPr>
        <sz val="12"/>
        <rFont val="Bookman Old Style"/>
        <family val="1"/>
      </rPr>
      <t>CurTiPot,</t>
    </r>
    <r>
      <rPr>
        <sz val="12"/>
        <rFont val="Arial"/>
        <family val="2"/>
      </rPr>
      <t xml:space="preserve"> version 1.0 for DOS (Borland Turbo Basic and Microsoft Disk Operating System), was created in 1991 and launched in 1992.</t>
    </r>
  </si>
  <si>
    <t xml:space="preserve">    Overall apparent protonation constants recalculated for I</t>
  </si>
  <si>
    <t xml:space="preserve">         Distribution Diagrams, Buffer Capacity and Protonation Curves</t>
  </si>
  <si>
    <t xml:space="preserve">             pH Calculator</t>
  </si>
  <si>
    <r>
      <t>SO</t>
    </r>
    <r>
      <rPr>
        <vertAlign val="subscript"/>
        <sz val="10"/>
        <rFont val="Arial"/>
        <family val="2"/>
      </rPr>
      <t>4</t>
    </r>
    <r>
      <rPr>
        <vertAlign val="superscript"/>
        <sz val="10"/>
        <rFont val="Arial"/>
        <family val="2"/>
      </rPr>
      <t>=</t>
    </r>
  </si>
  <si>
    <r>
      <t>d</t>
    </r>
    <r>
      <rPr>
        <vertAlign val="superscript"/>
        <sz val="10"/>
        <rFont val="Arial"/>
        <family val="2"/>
      </rPr>
      <t>2</t>
    </r>
    <r>
      <rPr>
        <sz val="10"/>
        <rFont val="Arial"/>
        <family val="2"/>
      </rPr>
      <t>pH/dV</t>
    </r>
    <r>
      <rPr>
        <vertAlign val="superscript"/>
        <sz val="10"/>
        <rFont val="Arial"/>
        <family val="2"/>
      </rPr>
      <t>2</t>
    </r>
  </si>
  <si>
    <t xml:space="preserve">Fit quality of the splines to pH   </t>
  </si>
  <si>
    <r>
      <rPr>
        <b/>
        <sz val="12"/>
        <rFont val="Arial"/>
        <family val="2"/>
      </rPr>
      <t xml:space="preserve">Inflection auto-finder </t>
    </r>
    <r>
      <rPr>
        <sz val="10"/>
        <rFont val="Arial"/>
        <family val="2"/>
      </rPr>
      <t>- first-derivative-based</t>
    </r>
  </si>
  <si>
    <t xml:space="preserve">         D  o     n  o  t     c  h  a  n  g  e </t>
  </si>
  <si>
    <t xml:space="preserve">Fitted pH std. dev. </t>
  </si>
  <si>
    <t>Detector threshold |dpH/dV| &gt;</t>
  </si>
  <si>
    <t>guess value</t>
  </si>
  <si>
    <t xml:space="preserve">F i l l   o u t </t>
  </si>
  <si>
    <t xml:space="preserve">o r  </t>
  </si>
  <si>
    <t xml:space="preserve"> c h a n g e</t>
  </si>
  <si>
    <t>Correlation coefficient</t>
  </si>
  <si>
    <t>Detected inflection points</t>
  </si>
  <si>
    <t xml:space="preserve">    Interpolated spline smoothed data</t>
  </si>
  <si>
    <t>step</t>
  </si>
  <si>
    <t>Titrand concentration calculator</t>
  </si>
  <si>
    <t>(optional and modifiable)</t>
  </si>
  <si>
    <t xml:space="preserve">  mL</t>
  </si>
  <si>
    <t xml:space="preserve">Concentration of titrant (in the buret)  </t>
  </si>
  <si>
    <t xml:space="preserve">  mol/L</t>
  </si>
  <si>
    <t xml:space="preserve">  Number of mols of titrant</t>
  </si>
  <si>
    <t>Result (mol/L)</t>
  </si>
  <si>
    <t>total</t>
  </si>
  <si>
    <t>stepwise</t>
  </si>
  <si>
    <t>[H3PO4] =  0,0501 mol/L in the 20 mL of sample</t>
  </si>
  <si>
    <t xml:space="preserve">To enable the execution of macro-instructions in MS Excel follow instructions at the right   -------&gt;               -------&gt;               -------&gt;               -------&gt;               -------&gt;               -------&gt;              </t>
  </si>
  <si>
    <t>http://www.chemicalize.org/</t>
  </si>
  <si>
    <t>Tutorial on acids and bases (and other) equilibria</t>
  </si>
  <si>
    <t>Tutorial on titrations of acids and bases</t>
  </si>
  <si>
    <t>http://www.asdlib.org/onlineArticles/ecourseware/Text_Files_files/Chapter6.pdf</t>
  </si>
  <si>
    <t>http://www.asdlib.org/onlineArticles/ecourseware/Text_Files_files/Chapter9.pdf</t>
  </si>
  <si>
    <t>Conversion of dissociation constants of acids into protonation constants of their conjugated bases</t>
  </si>
  <si>
    <t xml:space="preserve"> pKas of the acids and bases in the solution</t>
  </si>
  <si>
    <t xml:space="preserve">       pKas loaded from the Database </t>
  </si>
  <si>
    <t xml:space="preserve">    Titrand</t>
  </si>
  <si>
    <t>S[H]</t>
  </si>
  <si>
    <t>Titrand (sample)</t>
  </si>
  <si>
    <t>Titrant (buret)</t>
  </si>
  <si>
    <r>
      <t>b</t>
    </r>
    <r>
      <rPr>
        <vertAlign val="subscript"/>
        <sz val="12"/>
        <rFont val="Arial"/>
        <family val="2"/>
      </rPr>
      <t>p1</t>
    </r>
    <r>
      <rPr>
        <sz val="11"/>
        <color indexed="8"/>
        <rFont val="Calibri"/>
        <family val="2"/>
      </rPr>
      <t/>
    </r>
  </si>
  <si>
    <r>
      <t xml:space="preserve">          Overall protonation constants = </t>
    </r>
    <r>
      <rPr>
        <b/>
        <sz val="11"/>
        <rFont val="Symbol"/>
        <family val="1"/>
        <charset val="2"/>
      </rPr>
      <t>b</t>
    </r>
    <r>
      <rPr>
        <b/>
        <sz val="11"/>
        <rFont val="Arial"/>
        <family val="2"/>
      </rPr>
      <t>p =</t>
    </r>
    <r>
      <rPr>
        <b/>
        <sz val="11"/>
        <rFont val="Symbol"/>
        <family val="1"/>
        <charset val="2"/>
      </rPr>
      <t xml:space="preserve"> P</t>
    </r>
    <r>
      <rPr>
        <b/>
        <sz val="11"/>
        <rFont val="Arial"/>
        <family val="2"/>
      </rPr>
      <t>Kp (calculated by the program)</t>
    </r>
  </si>
  <si>
    <r>
      <t>pKa</t>
    </r>
    <r>
      <rPr>
        <vertAlign val="subscript"/>
        <sz val="13"/>
        <rFont val="Arial"/>
        <family val="2"/>
      </rPr>
      <t>1</t>
    </r>
    <r>
      <rPr>
        <sz val="11"/>
        <color indexed="8"/>
        <rFont val="Calibri"/>
        <family val="2"/>
      </rPr>
      <t/>
    </r>
  </si>
  <si>
    <r>
      <t>pKa</t>
    </r>
    <r>
      <rPr>
        <vertAlign val="subscript"/>
        <sz val="13"/>
        <rFont val="Arial"/>
        <family val="2"/>
      </rPr>
      <t>2</t>
    </r>
    <r>
      <rPr>
        <sz val="11"/>
        <color indexed="8"/>
        <rFont val="Calibri"/>
        <family val="2"/>
      </rPr>
      <t/>
    </r>
  </si>
  <si>
    <t>pH &lt; pK-1</t>
  </si>
  <si>
    <t>pH = pK</t>
  </si>
  <si>
    <t>pH &gt; pK+1</t>
  </si>
  <si>
    <t>% Ind</t>
  </si>
  <si>
    <t>% Hind</t>
  </si>
  <si>
    <t>pH-meter</t>
  </si>
  <si>
    <t>Molar fraction</t>
  </si>
  <si>
    <t xml:space="preserve">         Magnetic stirrer</t>
  </si>
  <si>
    <t>Display (or hide)</t>
  </si>
  <si>
    <r>
      <t>pK</t>
    </r>
    <r>
      <rPr>
        <b/>
        <vertAlign val="subscript"/>
        <sz val="12"/>
        <rFont val="Arial"/>
        <family val="2"/>
      </rPr>
      <t>a, indicator</t>
    </r>
  </si>
  <si>
    <t>Region</t>
  </si>
  <si>
    <t xml:space="preserve">  INDICATOR equilibrium</t>
  </si>
  <si>
    <t>Titrand equilibrium</t>
  </si>
  <si>
    <t>Indicator</t>
  </si>
  <si>
    <r>
      <t xml:space="preserve">Volume, </t>
    </r>
    <r>
      <rPr>
        <sz val="10"/>
        <rFont val="Arial"/>
        <family val="2"/>
      </rPr>
      <t>mL</t>
    </r>
  </si>
  <si>
    <t xml:space="preserve"> motor</t>
  </si>
  <si>
    <t>on graphic</t>
  </si>
  <si>
    <t>Manual Virtual Titrator with visual indicator</t>
  </si>
  <si>
    <r>
      <t xml:space="preserve"> mL of titrant                  </t>
    </r>
    <r>
      <rPr>
        <sz val="4"/>
        <color indexed="60"/>
        <rFont val="Arial"/>
        <family val="2"/>
      </rPr>
      <t>.</t>
    </r>
  </si>
  <si>
    <t xml:space="preserve">  Volume of titrand in beaker (mL)</t>
  </si>
  <si>
    <t>Digital BURET</t>
  </si>
  <si>
    <t>Syringe with titrant</t>
  </si>
  <si>
    <t>pH and titration curve</t>
  </si>
  <si>
    <t>Titrants</t>
  </si>
  <si>
    <r>
      <t xml:space="preserve">•  </t>
    </r>
    <r>
      <rPr>
        <b/>
        <sz val="13"/>
        <rFont val="Arial"/>
        <family val="2"/>
      </rPr>
      <t>Simulation</t>
    </r>
    <r>
      <rPr>
        <sz val="13"/>
        <rFont val="Arial"/>
        <family val="2"/>
      </rPr>
      <t xml:space="preserve"> of simple and complex acid-base titration curves</t>
    </r>
  </si>
  <si>
    <t>•  Data analysis of real and simulated curves</t>
  </si>
  <si>
    <r>
      <t xml:space="preserve">If you agree with all terms of the License, enable macros and use </t>
    </r>
    <r>
      <rPr>
        <sz val="12"/>
        <rFont val="Bookman Old Style"/>
        <family val="1"/>
      </rPr>
      <t>CurTiPot</t>
    </r>
    <r>
      <rPr>
        <sz val="12"/>
        <rFont val="Arial"/>
        <family val="2"/>
      </rPr>
      <t xml:space="preserve"> freely for non-commercial purposes</t>
    </r>
  </si>
  <si>
    <r>
      <t xml:space="preserve">The Solver supplement is required only by the </t>
    </r>
    <r>
      <rPr>
        <b/>
        <sz val="12"/>
        <rFont val="Arial"/>
        <family val="2"/>
      </rPr>
      <t>Regression</t>
    </r>
    <r>
      <rPr>
        <sz val="12"/>
        <rFont val="Arial"/>
        <family val="2"/>
      </rPr>
      <t xml:space="preserve"> module. Follow activation instructions given in the cell I19 of the module</t>
    </r>
  </si>
  <si>
    <t>Read local instructions in comment boxes by placing the mouse on cells with red marks (like in Q14 and Q34 at this page);</t>
  </si>
  <si>
    <r>
      <t xml:space="preserve">Titrant addition </t>
    </r>
    <r>
      <rPr>
        <sz val="10"/>
        <color indexed="60"/>
        <rFont val="Arial"/>
        <family val="2"/>
      </rPr>
      <t xml:space="preserve">(mL)   </t>
    </r>
    <r>
      <rPr>
        <b/>
        <sz val="10"/>
        <color indexed="60"/>
        <rFont val="Arial"/>
        <family val="2"/>
      </rPr>
      <t xml:space="preserve"> </t>
    </r>
  </si>
  <si>
    <t>Buret (syringe) capacity</t>
  </si>
  <si>
    <t>Upper limits</t>
  </si>
  <si>
    <t>Titrant Vol.</t>
  </si>
  <si>
    <r>
      <t>[H</t>
    </r>
    <r>
      <rPr>
        <vertAlign val="subscript"/>
        <sz val="10"/>
        <color indexed="60"/>
        <rFont val="Arial"/>
        <family val="2"/>
      </rPr>
      <t>2</t>
    </r>
    <r>
      <rPr>
        <sz val="10"/>
        <color indexed="60"/>
        <rFont val="Arial"/>
        <family val="2"/>
      </rPr>
      <t>B]</t>
    </r>
  </si>
  <si>
    <r>
      <t>S</t>
    </r>
    <r>
      <rPr>
        <sz val="10"/>
        <color indexed="60"/>
        <rFont val="Arial"/>
        <family val="2"/>
      </rPr>
      <t>[H</t>
    </r>
    <r>
      <rPr>
        <vertAlign val="subscript"/>
        <sz val="12"/>
        <color indexed="60"/>
        <rFont val="Arial"/>
        <family val="2"/>
      </rPr>
      <t>i</t>
    </r>
    <r>
      <rPr>
        <sz val="10"/>
        <color indexed="60"/>
        <rFont val="Arial"/>
        <family val="2"/>
      </rPr>
      <t>B]</t>
    </r>
  </si>
  <si>
    <r>
      <t>S</t>
    </r>
    <r>
      <rPr>
        <sz val="10"/>
        <color indexed="60"/>
        <rFont val="Arial"/>
        <family val="2"/>
      </rPr>
      <t>[H]</t>
    </r>
  </si>
  <si>
    <r>
      <t>[H</t>
    </r>
    <r>
      <rPr>
        <vertAlign val="subscript"/>
        <sz val="12"/>
        <color indexed="60"/>
        <rFont val="Arial"/>
        <family val="2"/>
      </rPr>
      <t>2</t>
    </r>
    <r>
      <rPr>
        <sz val="10"/>
        <color indexed="60"/>
        <rFont val="Arial"/>
        <family val="2"/>
      </rPr>
      <t>B]</t>
    </r>
  </si>
  <si>
    <r>
      <t>S</t>
    </r>
    <r>
      <rPr>
        <sz val="10"/>
        <color indexed="60"/>
        <rFont val="Arial"/>
        <family val="2"/>
      </rPr>
      <t>[HiB]</t>
    </r>
  </si>
  <si>
    <t xml:space="preserve">  Model INDICATOR</t>
  </si>
  <si>
    <r>
      <t>S</t>
    </r>
    <r>
      <rPr>
        <sz val="10"/>
        <color indexed="60"/>
        <rFont val="Arial"/>
        <family val="2"/>
      </rPr>
      <t>z</t>
    </r>
    <r>
      <rPr>
        <vertAlign val="subscript"/>
        <sz val="12"/>
        <color indexed="60"/>
        <rFont val="Arial"/>
        <family val="2"/>
      </rPr>
      <t>i</t>
    </r>
    <r>
      <rPr>
        <sz val="10"/>
        <color indexed="60"/>
        <rFont val="Arial"/>
        <family val="2"/>
      </rPr>
      <t>C</t>
    </r>
    <r>
      <rPr>
        <vertAlign val="subscript"/>
        <sz val="12"/>
        <color indexed="60"/>
        <rFont val="Arial"/>
        <family val="2"/>
      </rPr>
      <t>i</t>
    </r>
  </si>
  <si>
    <t>Cations (monov.)</t>
  </si>
  <si>
    <t>Anions (monov.)</t>
  </si>
  <si>
    <t>Minimum  (mol/L)</t>
  </si>
  <si>
    <t>Extra  (mol/L)</t>
  </si>
  <si>
    <t>Sum  (mol/L)</t>
  </si>
  <si>
    <r>
      <t>[H</t>
    </r>
    <r>
      <rPr>
        <vertAlign val="subscript"/>
        <sz val="11"/>
        <color indexed="62"/>
        <rFont val="Arial"/>
        <family val="2"/>
      </rPr>
      <t>2</t>
    </r>
    <r>
      <rPr>
        <sz val="10"/>
        <color indexed="62"/>
        <rFont val="Arial"/>
        <family val="2"/>
      </rPr>
      <t>B]</t>
    </r>
  </si>
  <si>
    <r>
      <t>[H</t>
    </r>
    <r>
      <rPr>
        <vertAlign val="subscript"/>
        <sz val="11"/>
        <color indexed="62"/>
        <rFont val="Arial"/>
        <family val="2"/>
      </rPr>
      <t>3</t>
    </r>
    <r>
      <rPr>
        <sz val="10"/>
        <color indexed="62"/>
        <rFont val="Arial"/>
        <family val="2"/>
      </rPr>
      <t>B]</t>
    </r>
  </si>
  <si>
    <r>
      <t>[H</t>
    </r>
    <r>
      <rPr>
        <vertAlign val="subscript"/>
        <sz val="11"/>
        <color indexed="62"/>
        <rFont val="Arial"/>
        <family val="2"/>
      </rPr>
      <t>4</t>
    </r>
    <r>
      <rPr>
        <sz val="10"/>
        <color indexed="62"/>
        <rFont val="Arial"/>
        <family val="2"/>
      </rPr>
      <t>B]</t>
    </r>
  </si>
  <si>
    <r>
      <t>[H</t>
    </r>
    <r>
      <rPr>
        <vertAlign val="subscript"/>
        <sz val="11"/>
        <color indexed="62"/>
        <rFont val="Arial"/>
        <family val="2"/>
      </rPr>
      <t>5</t>
    </r>
    <r>
      <rPr>
        <sz val="10"/>
        <color indexed="62"/>
        <rFont val="Arial"/>
        <family val="2"/>
      </rPr>
      <t>B]</t>
    </r>
  </si>
  <si>
    <r>
      <t>[H</t>
    </r>
    <r>
      <rPr>
        <vertAlign val="subscript"/>
        <sz val="11"/>
        <color indexed="62"/>
        <rFont val="Arial"/>
        <family val="2"/>
      </rPr>
      <t>6</t>
    </r>
    <r>
      <rPr>
        <sz val="10"/>
        <color indexed="62"/>
        <rFont val="Arial"/>
        <family val="2"/>
      </rPr>
      <t>B]</t>
    </r>
  </si>
  <si>
    <r>
      <t>S</t>
    </r>
    <r>
      <rPr>
        <sz val="10"/>
        <color indexed="62"/>
        <rFont val="Arial"/>
        <family val="2"/>
      </rPr>
      <t>[H</t>
    </r>
    <r>
      <rPr>
        <vertAlign val="subscript"/>
        <sz val="12"/>
        <color indexed="62"/>
        <rFont val="Arial"/>
        <family val="2"/>
      </rPr>
      <t>i</t>
    </r>
    <r>
      <rPr>
        <sz val="10"/>
        <color indexed="62"/>
        <rFont val="Arial"/>
        <family val="2"/>
      </rPr>
      <t>B]</t>
    </r>
  </si>
  <si>
    <r>
      <t>S</t>
    </r>
    <r>
      <rPr>
        <sz val="10"/>
        <color indexed="62"/>
        <rFont val="Arial"/>
        <family val="2"/>
      </rPr>
      <t>[H]</t>
    </r>
  </si>
  <si>
    <r>
      <t>S</t>
    </r>
    <r>
      <rPr>
        <sz val="10"/>
        <color indexed="62"/>
        <rFont val="Arial"/>
        <family val="2"/>
      </rPr>
      <t>z</t>
    </r>
    <r>
      <rPr>
        <vertAlign val="subscript"/>
        <sz val="12"/>
        <color indexed="62"/>
        <rFont val="Arial"/>
        <family val="2"/>
      </rPr>
      <t>i</t>
    </r>
    <r>
      <rPr>
        <sz val="10"/>
        <color indexed="62"/>
        <rFont val="Arial"/>
        <family val="2"/>
      </rPr>
      <t>C</t>
    </r>
    <r>
      <rPr>
        <vertAlign val="subscript"/>
        <sz val="12"/>
        <color indexed="62"/>
        <rFont val="Arial"/>
        <family val="2"/>
      </rPr>
      <t>i</t>
    </r>
  </si>
  <si>
    <r>
      <t>[H</t>
    </r>
    <r>
      <rPr>
        <vertAlign val="subscript"/>
        <sz val="12"/>
        <color indexed="62"/>
        <rFont val="Arial"/>
        <family val="2"/>
      </rPr>
      <t>2</t>
    </r>
    <r>
      <rPr>
        <sz val="10"/>
        <color indexed="62"/>
        <rFont val="Arial"/>
        <family val="2"/>
      </rPr>
      <t>B]</t>
    </r>
  </si>
  <si>
    <r>
      <t>[H</t>
    </r>
    <r>
      <rPr>
        <vertAlign val="subscript"/>
        <sz val="12"/>
        <color indexed="62"/>
        <rFont val="Arial"/>
        <family val="2"/>
      </rPr>
      <t>3</t>
    </r>
    <r>
      <rPr>
        <sz val="10"/>
        <color indexed="62"/>
        <rFont val="Arial"/>
        <family val="2"/>
      </rPr>
      <t>B]</t>
    </r>
  </si>
  <si>
    <r>
      <t>S</t>
    </r>
    <r>
      <rPr>
        <sz val="10"/>
        <color indexed="62"/>
        <rFont val="Arial"/>
        <family val="2"/>
      </rPr>
      <t>[HiB]</t>
    </r>
  </si>
  <si>
    <r>
      <t>% H</t>
    </r>
    <r>
      <rPr>
        <vertAlign val="subscript"/>
        <sz val="11"/>
        <color indexed="62"/>
        <rFont val="Arial"/>
        <family val="2"/>
      </rPr>
      <t>2</t>
    </r>
    <r>
      <rPr>
        <sz val="10"/>
        <color indexed="62"/>
        <rFont val="Arial"/>
        <family val="2"/>
      </rPr>
      <t>B</t>
    </r>
  </si>
  <si>
    <r>
      <t>% H</t>
    </r>
    <r>
      <rPr>
        <vertAlign val="subscript"/>
        <sz val="11"/>
        <color indexed="62"/>
        <rFont val="Arial"/>
        <family val="2"/>
      </rPr>
      <t>3</t>
    </r>
    <r>
      <rPr>
        <sz val="10"/>
        <color indexed="62"/>
        <rFont val="Arial"/>
        <family val="2"/>
      </rPr>
      <t>B</t>
    </r>
  </si>
  <si>
    <r>
      <t>% H</t>
    </r>
    <r>
      <rPr>
        <vertAlign val="subscript"/>
        <sz val="11"/>
        <color indexed="62"/>
        <rFont val="Arial"/>
        <family val="2"/>
      </rPr>
      <t>4</t>
    </r>
    <r>
      <rPr>
        <sz val="10"/>
        <color indexed="62"/>
        <rFont val="Arial"/>
        <family val="2"/>
      </rPr>
      <t>B</t>
    </r>
  </si>
  <si>
    <r>
      <t>% H</t>
    </r>
    <r>
      <rPr>
        <vertAlign val="subscript"/>
        <sz val="11"/>
        <color indexed="62"/>
        <rFont val="Arial"/>
        <family val="2"/>
      </rPr>
      <t>5</t>
    </r>
    <r>
      <rPr>
        <sz val="10"/>
        <color indexed="62"/>
        <rFont val="Arial"/>
        <family val="2"/>
      </rPr>
      <t>B</t>
    </r>
  </si>
  <si>
    <r>
      <t>% H</t>
    </r>
    <r>
      <rPr>
        <vertAlign val="subscript"/>
        <sz val="11"/>
        <color indexed="62"/>
        <rFont val="Arial"/>
        <family val="2"/>
      </rPr>
      <t>6</t>
    </r>
    <r>
      <rPr>
        <sz val="10"/>
        <color indexed="62"/>
        <rFont val="Arial"/>
        <family val="2"/>
      </rPr>
      <t>B</t>
    </r>
  </si>
  <si>
    <t xml:space="preserve">           Titrant reservoir</t>
  </si>
  <si>
    <r>
      <t>SS</t>
    </r>
    <r>
      <rPr>
        <sz val="10"/>
        <color indexed="60"/>
        <rFont val="Arial"/>
        <family val="2"/>
      </rPr>
      <t xml:space="preserve"> [H]          pH</t>
    </r>
  </si>
  <si>
    <r>
      <t>[H</t>
    </r>
    <r>
      <rPr>
        <vertAlign val="subscript"/>
        <sz val="12"/>
        <color indexed="62"/>
        <rFont val="Arial"/>
        <family val="2"/>
      </rPr>
      <t>4</t>
    </r>
    <r>
      <rPr>
        <sz val="10"/>
        <color indexed="62"/>
        <rFont val="Arial"/>
        <family val="2"/>
      </rPr>
      <t>B]</t>
    </r>
  </si>
  <si>
    <r>
      <t>[H</t>
    </r>
    <r>
      <rPr>
        <vertAlign val="subscript"/>
        <sz val="10"/>
        <color indexed="62"/>
        <rFont val="Arial"/>
        <family val="2"/>
      </rPr>
      <t>5</t>
    </r>
    <r>
      <rPr>
        <sz val="10"/>
        <color indexed="62"/>
        <rFont val="Arial"/>
        <family val="2"/>
      </rPr>
      <t>B]</t>
    </r>
  </si>
  <si>
    <r>
      <t>[H</t>
    </r>
    <r>
      <rPr>
        <vertAlign val="subscript"/>
        <sz val="12"/>
        <color indexed="62"/>
        <rFont val="Arial"/>
        <family val="2"/>
      </rPr>
      <t>6</t>
    </r>
    <r>
      <rPr>
        <sz val="10"/>
        <color indexed="62"/>
        <rFont val="Arial"/>
        <family val="2"/>
      </rPr>
      <t>B]</t>
    </r>
  </si>
  <si>
    <r>
      <t>S</t>
    </r>
    <r>
      <rPr>
        <b/>
        <sz val="10"/>
        <color indexed="62"/>
        <rFont val="Arial"/>
        <family val="2"/>
      </rPr>
      <t>[H</t>
    </r>
    <r>
      <rPr>
        <b/>
        <vertAlign val="subscript"/>
        <sz val="12"/>
        <color indexed="62"/>
        <rFont val="Arial"/>
        <family val="2"/>
      </rPr>
      <t>i</t>
    </r>
    <r>
      <rPr>
        <b/>
        <sz val="10"/>
        <color indexed="62"/>
        <rFont val="Arial"/>
        <family val="2"/>
      </rPr>
      <t>B]</t>
    </r>
  </si>
  <si>
    <r>
      <t>S</t>
    </r>
    <r>
      <rPr>
        <sz val="10"/>
        <color indexed="62"/>
        <rFont val="Arial"/>
        <family val="2"/>
      </rPr>
      <t>[H] bound</t>
    </r>
  </si>
  <si>
    <r>
      <t>Most constants in this compilation of ~250 systems – but not all – were obtained at 25</t>
    </r>
    <r>
      <rPr>
        <vertAlign val="superscript"/>
        <sz val="12"/>
        <rFont val="Arial"/>
        <family val="2"/>
      </rPr>
      <t>o</t>
    </r>
    <r>
      <rPr>
        <sz val="12"/>
        <rFont val="Arial"/>
        <family val="2"/>
      </rPr>
      <t xml:space="preserve"> C and are thermodynamic ones (</t>
    </r>
    <r>
      <rPr>
        <sz val="12"/>
        <rFont val="Bookman Old Style"/>
        <family val="1"/>
      </rPr>
      <t>I</t>
    </r>
    <r>
      <rPr>
        <sz val="12"/>
        <rFont val="Arial"/>
        <family val="2"/>
      </rPr>
      <t xml:space="preserve">=0), as required by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t>
    </r>
  </si>
  <si>
    <t xml:space="preserve">    Composition: cells B13 to D16</t>
  </si>
  <si>
    <t xml:space="preserve">"pH"  </t>
  </si>
  <si>
    <t>Color</t>
  </si>
  <si>
    <r>
      <rPr>
        <sz val="10"/>
        <rFont val="Symbol"/>
        <family val="1"/>
        <charset val="2"/>
      </rPr>
      <t>g</t>
    </r>
    <r>
      <rPr>
        <sz val="10"/>
        <rFont val="Arial"/>
        <family val="2"/>
      </rPr>
      <t>H+</t>
    </r>
  </si>
  <si>
    <t xml:space="preserve"> TITRAND equilibrium</t>
  </si>
  <si>
    <t>Read the License - hover the mouse over the cell with the red dot on the left (Q14)</t>
  </si>
  <si>
    <t>Titration curve from Titration</t>
  </si>
  <si>
    <t>Titration curve from Simulation</t>
  </si>
  <si>
    <t>Titration curve from Evaluation</t>
  </si>
  <si>
    <t>Titration curve from Regression</t>
  </si>
  <si>
    <t>red</t>
  </si>
  <si>
    <t>yellow</t>
  </si>
  <si>
    <t>blue</t>
  </si>
  <si>
    <t>Phenolphthalein</t>
  </si>
  <si>
    <t xml:space="preserve">  Unknown sample</t>
  </si>
  <si>
    <t>Due to the wide range of screen resolutions in use nowadays, some resizing/replacement of figures and objects may be required</t>
  </si>
  <si>
    <t>C27H30O5S</t>
  </si>
  <si>
    <t>C14H14N3NaO3S</t>
  </si>
  <si>
    <t>C21H14Br4O5S</t>
  </si>
  <si>
    <t>C15H15N3O2</t>
  </si>
  <si>
    <t>C27H28Br2O5S</t>
  </si>
  <si>
    <t>C19H14O5S</t>
  </si>
  <si>
    <t>orange</t>
  </si>
  <si>
    <t>C20H14O4</t>
  </si>
  <si>
    <t xml:space="preserve">    »  automatic generation of curves with data equally spaced in pH or volume, in concentration ("pH") or activity (pH)</t>
  </si>
  <si>
    <t xml:space="preserve">    »  simulation of experimental random errors in pH and volume; overlay of multiple curves for comparison</t>
  </si>
  <si>
    <r>
      <t xml:space="preserve">    »  </t>
    </r>
    <r>
      <rPr>
        <b/>
        <sz val="13"/>
        <rFont val="Arial"/>
        <family val="2"/>
      </rPr>
      <t>Evaluation</t>
    </r>
    <r>
      <rPr>
        <sz val="13"/>
        <rFont val="Arial"/>
        <family val="2"/>
      </rPr>
      <t xml:space="preserve"> of curves with enhanced accuracy by interpolation, spline smoothing and automatic endpoint detection</t>
    </r>
  </si>
  <si>
    <r>
      <t xml:space="preserve">    »  Non-linear data </t>
    </r>
    <r>
      <rPr>
        <b/>
        <sz val="13"/>
        <rFont val="Arial"/>
        <family val="2"/>
      </rPr>
      <t>Regression</t>
    </r>
    <r>
      <rPr>
        <sz val="13"/>
        <rFont val="Arial"/>
        <family val="2"/>
      </rPr>
      <t xml:space="preserve"> for the determination of concentrations and refinement of pK</t>
    </r>
    <r>
      <rPr>
        <vertAlign val="subscript"/>
        <sz val="15"/>
        <rFont val="Arial"/>
        <family val="2"/>
      </rPr>
      <t>a</t>
    </r>
    <r>
      <rPr>
        <sz val="13"/>
        <rFont val="Arial"/>
        <family val="2"/>
      </rPr>
      <t xml:space="preserve"> values</t>
    </r>
  </si>
  <si>
    <r>
      <t xml:space="preserve">•  </t>
    </r>
    <r>
      <rPr>
        <b/>
        <sz val="13"/>
        <rFont val="Arial"/>
        <family val="2"/>
      </rPr>
      <t>Distribution</t>
    </r>
    <r>
      <rPr>
        <sz val="13"/>
        <rFont val="Arial"/>
        <family val="2"/>
      </rPr>
      <t xml:space="preserve"> diagrams of species, protonation of bases, isoelectric point and buffer capacity vs. pH and vs. volume of a titration</t>
    </r>
  </si>
  <si>
    <r>
      <t xml:space="preserve">Activity coefficient calculations, available in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 are subject to the limitations of the Daniel equation at ionic strength &gt;0.1 mol/L</t>
    </r>
  </si>
  <si>
    <r>
      <t xml:space="preserve">The author reserves the right not to be responsible for the correctness, completeness, accuracy and bug-free operation of the freeware </t>
    </r>
    <r>
      <rPr>
        <sz val="12"/>
        <rFont val="Bookman Old Style"/>
        <family val="1"/>
      </rPr>
      <t>CurTiPot</t>
    </r>
    <r>
      <rPr>
        <sz val="12"/>
        <rFont val="Arial"/>
        <family val="2"/>
      </rPr>
      <t>, provided "as is" without warranty of any kind</t>
    </r>
  </si>
  <si>
    <r>
      <t xml:space="preserve">Version 3.6, March 2012 - Inflections (endpoints) of real and simulated titrations are located automatically by the improved </t>
    </r>
    <r>
      <rPr>
        <b/>
        <sz val="12"/>
        <rFont val="Arial"/>
        <family val="2"/>
      </rPr>
      <t>Evaluation</t>
    </r>
    <r>
      <rPr>
        <sz val="12"/>
        <rFont val="Arial"/>
        <family val="2"/>
      </rPr>
      <t xml:space="preserve"> module, with smoothing and interpolation. </t>
    </r>
  </si>
  <si>
    <r>
      <t xml:space="preserve">Switch to the </t>
    </r>
    <r>
      <rPr>
        <b/>
        <sz val="12"/>
        <rFont val="Arial"/>
        <family val="2"/>
      </rPr>
      <t>Simulation</t>
    </r>
    <r>
      <rPr>
        <sz val="12"/>
        <rFont val="Arial"/>
        <family val="2"/>
      </rPr>
      <t xml:space="preserve"> module and repeat the preloaded titration of phosphoric acid; start clicking on the buttons at the left of the figure; change some concentrations afterwards;</t>
    </r>
  </si>
  <si>
    <r>
      <rPr>
        <b/>
        <sz val="12"/>
        <rFont val="Arial"/>
        <family val="2"/>
      </rPr>
      <t>Titration</t>
    </r>
    <r>
      <rPr>
        <sz val="12"/>
        <rFont val="Arial"/>
        <family val="2"/>
      </rPr>
      <t xml:space="preserve"> could be a nice start for beginners; </t>
    </r>
    <r>
      <rPr>
        <b/>
        <sz val="12"/>
        <rFont val="Arial"/>
        <family val="2"/>
      </rPr>
      <t>pH_calc</t>
    </r>
    <r>
      <rPr>
        <sz val="12"/>
        <rFont val="Arial"/>
        <family val="2"/>
      </rPr>
      <t xml:space="preserve"> has too much stuff to grasp at once, but the </t>
    </r>
    <r>
      <rPr>
        <b/>
        <sz val="12"/>
        <rFont val="Arial"/>
        <family val="2"/>
      </rPr>
      <t>pH</t>
    </r>
    <r>
      <rPr>
        <sz val="12"/>
        <rFont val="Arial"/>
        <family val="2"/>
      </rPr>
      <t xml:space="preserve"> is highlighted in the dark blue cell H23</t>
    </r>
  </si>
  <si>
    <r>
      <t>Enable macros (see cell R16 above); click on a tab at the bottom left of this page or press Ctrl + PgDn switch modules</t>
    </r>
    <r>
      <rPr>
        <b/>
        <sz val="12"/>
        <rFont val="Arial"/>
        <family val="2"/>
      </rPr>
      <t>;</t>
    </r>
    <r>
      <rPr>
        <sz val="12"/>
        <rFont val="Arial"/>
        <family val="2"/>
      </rPr>
      <t xml:space="preserve"> follow instructions in the yellow balloons</t>
    </r>
  </si>
  <si>
    <r>
      <t xml:space="preserve">•  Virtual </t>
    </r>
    <r>
      <rPr>
        <b/>
        <sz val="13"/>
        <rFont val="Arial"/>
        <family val="2"/>
      </rPr>
      <t>Titration</t>
    </r>
    <r>
      <rPr>
        <sz val="13"/>
        <rFont val="Arial"/>
        <family val="2"/>
      </rPr>
      <t xml:space="preserve"> with indicator color transition simulation, manual titrant addition with a digital burette, species distribution and pH vs. volume plot</t>
    </r>
  </si>
  <si>
    <r>
      <rPr>
        <sz val="10"/>
        <color indexed="10"/>
        <rFont val="Arial"/>
        <family val="2"/>
      </rPr>
      <t>(negative</t>
    </r>
    <r>
      <rPr>
        <sz val="10"/>
        <rFont val="Arial"/>
        <family val="2"/>
      </rPr>
      <t xml:space="preserve"> results are possible)</t>
    </r>
  </si>
  <si>
    <t>For this sample, half of the determined H2PO4- came from the H3PO4</t>
  </si>
  <si>
    <r>
      <t>No guarantee</t>
    </r>
    <r>
      <rPr>
        <sz val="10"/>
        <rFont val="Arial"/>
        <family val="2"/>
      </rPr>
      <t xml:space="preserve"> is given that the compiled pKas or the calculations made with CurTiPot are correct or accurate. CurTiPot takes in account only protonation equilibria but other chemical reactions will occur for many combinations of two or more of the listed systems. </t>
    </r>
  </si>
  <si>
    <t>More systems, e.g., from the sources given next,  can be added: a) at the end of the list; b) in alphabetic order by inserting line(s) and updating the sequential numbering (column B).</t>
  </si>
  <si>
    <t>http://www.acadsoft.co.uk/scdbase/scdbase.htm</t>
  </si>
  <si>
    <t>Ionic strength =</t>
  </si>
  <si>
    <t>SC-Database - Stability (equilibrium) constants database (from 1887 on, including IUPAC database)</t>
  </si>
  <si>
    <t xml:space="preserve">Computer calculated pKa values of any compound (by chemical name, CAS #, etc.) </t>
  </si>
  <si>
    <t>Acid base indicators - pKas, color transitions, etc.</t>
  </si>
  <si>
    <r>
      <t xml:space="preserve">Estimation of activity coefficients, </t>
    </r>
    <r>
      <rPr>
        <sz val="10"/>
        <rFont val="Symbol"/>
        <family val="1"/>
        <charset val="2"/>
      </rPr>
      <t>g</t>
    </r>
    <r>
      <rPr>
        <i/>
        <vertAlign val="subscript"/>
        <sz val="12"/>
        <rFont val="Arial"/>
        <family val="2"/>
      </rPr>
      <t>i</t>
    </r>
    <r>
      <rPr>
        <sz val="10"/>
        <rFont val="Arial"/>
        <family val="2"/>
      </rPr>
      <t>, within CurTiPot - Davies equation:</t>
    </r>
  </si>
  <si>
    <t>of the generalized reduced gradient method of nonlinear optimization, visit</t>
  </si>
  <si>
    <t>Indicator: pKa1 or 2</t>
  </si>
  <si>
    <t>color #, pH &lt; pKa indic</t>
  </si>
  <si>
    <t>color #, pH = pKa indic</t>
  </si>
  <si>
    <t>color #, pH &gt; pKa indic</t>
  </si>
  <si>
    <t>Thymol Blue (pKa 1.7)</t>
  </si>
  <si>
    <t>Methyl Orange (pKa 3.5)</t>
  </si>
  <si>
    <t>Bromocresol Green (pKa 4.8)</t>
  </si>
  <si>
    <t>Methyl Red (pKa 5.1)</t>
  </si>
  <si>
    <t>Bromothymol Blue (pKa 7.1)</t>
  </si>
  <si>
    <t>Phenol Red (pKa 7.7)</t>
  </si>
  <si>
    <t>Thymol Blue (pKa 8.9)</t>
  </si>
  <si>
    <t>Alizarine yellow R (pKa 11)</t>
  </si>
  <si>
    <t xml:space="preserve">C13H9N3O5 </t>
  </si>
  <si>
    <t>pKa</t>
  </si>
  <si>
    <t>pH &lt; pKa</t>
  </si>
  <si>
    <t>pH = pKa</t>
  </si>
  <si>
    <t>pH&gt;pka</t>
  </si>
  <si>
    <t>Other color numbers</t>
  </si>
  <si>
    <t>green</t>
  </si>
  <si>
    <t>white</t>
  </si>
  <si>
    <t>I N D I C A T O R S</t>
  </si>
  <si>
    <t xml:space="preserve">Use the e-mail: </t>
  </si>
  <si>
    <r>
      <t xml:space="preserve">Please report errors and incompatibilities of </t>
    </r>
    <r>
      <rPr>
        <sz val="12"/>
        <rFont val="Bookman Old Style"/>
        <family val="1"/>
      </rPr>
      <t>CurTiPot</t>
    </r>
    <r>
      <rPr>
        <sz val="12"/>
        <rFont val="Arial"/>
        <family val="2"/>
      </rPr>
      <t xml:space="preserve"> for MS Excel  (PC and Mac)  to the author;</t>
    </r>
  </si>
  <si>
    <t xml:space="preserve">     Titrant</t>
  </si>
  <si>
    <t xml:space="preserve">  Counterions and other ions</t>
  </si>
  <si>
    <t xml:space="preserve">  Simulation of errors </t>
  </si>
  <si>
    <t xml:space="preserve">  (data dispersion)</t>
  </si>
  <si>
    <r>
      <rPr>
        <sz val="11"/>
        <rFont val="Arial"/>
        <family val="2"/>
      </rPr>
      <t>pK</t>
    </r>
    <r>
      <rPr>
        <sz val="10"/>
        <rFont val="Arial"/>
        <family val="2"/>
      </rPr>
      <t>a</t>
    </r>
    <r>
      <rPr>
        <vertAlign val="subscript"/>
        <sz val="13"/>
        <rFont val="Arial"/>
        <family val="2"/>
      </rPr>
      <t xml:space="preserve">1 </t>
    </r>
    <r>
      <rPr>
        <sz val="11"/>
        <rFont val="Arial"/>
        <family val="2"/>
      </rPr>
      <t>= logK</t>
    </r>
    <r>
      <rPr>
        <vertAlign val="subscript"/>
        <sz val="13"/>
        <rFont val="Arial"/>
        <family val="2"/>
      </rPr>
      <t xml:space="preserve">pn  </t>
    </r>
  </si>
  <si>
    <r>
      <rPr>
        <sz val="11"/>
        <rFont val="Arial"/>
        <family val="2"/>
      </rPr>
      <t>pK</t>
    </r>
    <r>
      <rPr>
        <sz val="10"/>
        <rFont val="Arial"/>
        <family val="2"/>
      </rPr>
      <t>a</t>
    </r>
    <r>
      <rPr>
        <vertAlign val="subscript"/>
        <sz val="13"/>
        <rFont val="Arial"/>
        <family val="2"/>
      </rPr>
      <t xml:space="preserve">2 </t>
    </r>
    <r>
      <rPr>
        <sz val="11"/>
        <rFont val="Arial"/>
        <family val="2"/>
      </rPr>
      <t>= logK</t>
    </r>
    <r>
      <rPr>
        <vertAlign val="subscript"/>
        <sz val="13"/>
        <rFont val="Arial"/>
        <family val="2"/>
      </rPr>
      <t>pn-1</t>
    </r>
  </si>
  <si>
    <r>
      <rPr>
        <sz val="11"/>
        <rFont val="Arial"/>
        <family val="2"/>
      </rPr>
      <t>pK</t>
    </r>
    <r>
      <rPr>
        <sz val="10"/>
        <rFont val="Arial"/>
        <family val="2"/>
      </rPr>
      <t>a</t>
    </r>
    <r>
      <rPr>
        <vertAlign val="subscript"/>
        <sz val="13"/>
        <rFont val="Arial"/>
        <family val="2"/>
      </rPr>
      <t xml:space="preserve">3 </t>
    </r>
    <r>
      <rPr>
        <sz val="11"/>
        <rFont val="Arial"/>
        <family val="2"/>
      </rPr>
      <t>= logK</t>
    </r>
    <r>
      <rPr>
        <vertAlign val="subscript"/>
        <sz val="13"/>
        <rFont val="Arial"/>
        <family val="2"/>
      </rPr>
      <t>pn-2</t>
    </r>
  </si>
  <si>
    <r>
      <rPr>
        <sz val="11"/>
        <rFont val="Arial"/>
        <family val="2"/>
      </rPr>
      <t>pK</t>
    </r>
    <r>
      <rPr>
        <sz val="10"/>
        <rFont val="Arial"/>
        <family val="2"/>
      </rPr>
      <t>a</t>
    </r>
    <r>
      <rPr>
        <vertAlign val="subscript"/>
        <sz val="13"/>
        <rFont val="Arial"/>
        <family val="2"/>
      </rPr>
      <t xml:space="preserve">4 </t>
    </r>
    <r>
      <rPr>
        <sz val="11"/>
        <rFont val="Arial"/>
        <family val="2"/>
      </rPr>
      <t>= logK</t>
    </r>
    <r>
      <rPr>
        <vertAlign val="subscript"/>
        <sz val="13"/>
        <rFont val="Arial"/>
        <family val="2"/>
      </rPr>
      <t>pn-3</t>
    </r>
  </si>
  <si>
    <r>
      <rPr>
        <sz val="11"/>
        <rFont val="Arial"/>
        <family val="2"/>
      </rPr>
      <t>pK</t>
    </r>
    <r>
      <rPr>
        <sz val="10"/>
        <rFont val="Arial"/>
        <family val="2"/>
      </rPr>
      <t>a</t>
    </r>
    <r>
      <rPr>
        <vertAlign val="subscript"/>
        <sz val="13"/>
        <rFont val="Arial"/>
        <family val="2"/>
      </rPr>
      <t xml:space="preserve">5 </t>
    </r>
    <r>
      <rPr>
        <sz val="11"/>
        <rFont val="Arial"/>
        <family val="2"/>
      </rPr>
      <t>= logK</t>
    </r>
    <r>
      <rPr>
        <vertAlign val="subscript"/>
        <sz val="13"/>
        <rFont val="Arial"/>
        <family val="2"/>
      </rPr>
      <t>pn-4</t>
    </r>
  </si>
  <si>
    <r>
      <rPr>
        <sz val="11"/>
        <rFont val="Arial"/>
        <family val="2"/>
      </rPr>
      <t>pK</t>
    </r>
    <r>
      <rPr>
        <sz val="10"/>
        <rFont val="Arial"/>
        <family val="2"/>
      </rPr>
      <t>a</t>
    </r>
    <r>
      <rPr>
        <vertAlign val="subscript"/>
        <sz val="13"/>
        <rFont val="Arial"/>
        <family val="2"/>
      </rPr>
      <t xml:space="preserve">6 </t>
    </r>
    <r>
      <rPr>
        <sz val="11"/>
        <rFont val="Arial"/>
        <family val="2"/>
      </rPr>
      <t>= logK</t>
    </r>
    <r>
      <rPr>
        <vertAlign val="subscript"/>
        <sz val="13"/>
        <rFont val="Arial"/>
        <family val="2"/>
      </rPr>
      <t>pn-5</t>
    </r>
  </si>
  <si>
    <t>http://www1.lsbu.ac.uk/water/hydrogen_ions.html</t>
  </si>
  <si>
    <t xml:space="preserve">Water,  hydrogen ion, hydroxide ion structures, properties, Kw, pH </t>
  </si>
  <si>
    <r>
      <t>Number of additions</t>
    </r>
    <r>
      <rPr>
        <sz val="10"/>
        <color indexed="60"/>
        <rFont val="Arial"/>
        <family val="2"/>
      </rPr>
      <t xml:space="preserve"> </t>
    </r>
  </si>
  <si>
    <t>Sample (Titrand)</t>
  </si>
  <si>
    <t>Sample ions</t>
  </si>
  <si>
    <t>Added</t>
  </si>
  <si>
    <r>
      <t xml:space="preserve">Extra in </t>
    </r>
    <r>
      <rPr>
        <b/>
        <sz val="10"/>
        <color indexed="62"/>
        <rFont val="Arial"/>
        <family val="2"/>
      </rPr>
      <t>sample</t>
    </r>
  </si>
  <si>
    <r>
      <rPr>
        <sz val="12"/>
        <rFont val="Book Antiqua"/>
        <family val="1"/>
      </rPr>
      <t>I</t>
    </r>
    <r>
      <rPr>
        <sz val="10"/>
        <rFont val="Arial"/>
        <family val="2"/>
      </rPr>
      <t xml:space="preserve"> of counter- and extra ions</t>
    </r>
  </si>
  <si>
    <r>
      <t xml:space="preserve">Ionic strength, </t>
    </r>
    <r>
      <rPr>
        <sz val="12"/>
        <rFont val="Book Antiqua"/>
        <family val="1"/>
      </rPr>
      <t>I</t>
    </r>
  </si>
  <si>
    <t>Parameters calculated only for the 'Activities, plot pH' option</t>
  </si>
  <si>
    <r>
      <t>I</t>
    </r>
    <r>
      <rPr>
        <b/>
        <vertAlign val="subscript"/>
        <sz val="12"/>
        <rFont val="Arial"/>
        <family val="2"/>
      </rPr>
      <t>partial</t>
    </r>
  </si>
  <si>
    <r>
      <t>I</t>
    </r>
    <r>
      <rPr>
        <b/>
        <vertAlign val="subscript"/>
        <sz val="12"/>
        <rFont val="Arial"/>
        <family val="2"/>
      </rPr>
      <t>total</t>
    </r>
  </si>
  <si>
    <r>
      <t>I</t>
    </r>
    <r>
      <rPr>
        <b/>
        <vertAlign val="subscript"/>
        <sz val="10"/>
        <rFont val="Arial"/>
        <family val="2"/>
      </rPr>
      <t xml:space="preserve"> </t>
    </r>
    <r>
      <rPr>
        <b/>
        <vertAlign val="subscript"/>
        <sz val="12"/>
        <rFont val="Arial"/>
        <family val="2"/>
      </rPr>
      <t>total</t>
    </r>
  </si>
  <si>
    <t>applied</t>
  </si>
  <si>
    <t>applied
mol/L</t>
  </si>
  <si>
    <t xml:space="preserve">delay (s)    </t>
  </si>
  <si>
    <t>Parameter</t>
  </si>
  <si>
    <t>I</t>
  </si>
  <si>
    <t>Action</t>
  </si>
  <si>
    <r>
      <t>I</t>
    </r>
    <r>
      <rPr>
        <sz val="10"/>
        <rFont val="Arial"/>
        <family val="2"/>
      </rPr>
      <t xml:space="preserve"> = </t>
    </r>
    <r>
      <rPr>
        <sz val="10"/>
        <rFont val="Bookman Old Style"/>
        <family val="1"/>
      </rPr>
      <t>I</t>
    </r>
    <r>
      <rPr>
        <vertAlign val="subscript"/>
        <sz val="12"/>
        <rFont val="Arial"/>
        <family val="2"/>
      </rPr>
      <t>i</t>
    </r>
    <r>
      <rPr>
        <sz val="10"/>
        <rFont val="Arial"/>
        <family val="2"/>
      </rPr>
      <t>+</t>
    </r>
    <r>
      <rPr>
        <sz val="10"/>
        <rFont val="Bookman Old Style"/>
        <family val="1"/>
      </rPr>
      <t>I</t>
    </r>
    <r>
      <rPr>
        <vertAlign val="subscript"/>
        <sz val="12"/>
        <rFont val="Arial"/>
        <family val="2"/>
      </rPr>
      <t>j</t>
    </r>
    <r>
      <rPr>
        <sz val="10"/>
        <rFont val="Arial"/>
        <family val="2"/>
      </rPr>
      <t>+</t>
    </r>
    <r>
      <rPr>
        <sz val="10"/>
        <rFont val="Bookman Old Style"/>
        <family val="1"/>
      </rPr>
      <t>I</t>
    </r>
    <r>
      <rPr>
        <vertAlign val="subscript"/>
        <sz val="12"/>
        <rFont val="Arial"/>
        <family val="2"/>
      </rPr>
      <t>k</t>
    </r>
    <r>
      <rPr>
        <sz val="10"/>
        <rFont val="Arial"/>
        <family val="2"/>
      </rPr>
      <t>+</t>
    </r>
    <r>
      <rPr>
        <sz val="10"/>
        <rFont val="Bookman Old Style"/>
        <family val="1"/>
      </rPr>
      <t>I</t>
    </r>
    <r>
      <rPr>
        <vertAlign val="subscript"/>
        <sz val="12"/>
        <rFont val="Arial"/>
        <family val="2"/>
      </rPr>
      <t>H</t>
    </r>
    <r>
      <rPr>
        <sz val="10"/>
        <rFont val="Arial"/>
        <family val="2"/>
      </rPr>
      <t>+</t>
    </r>
    <r>
      <rPr>
        <sz val="10"/>
        <rFont val="Bookman Old Style"/>
        <family val="1"/>
      </rPr>
      <t>I</t>
    </r>
    <r>
      <rPr>
        <vertAlign val="subscript"/>
        <sz val="12"/>
        <rFont val="Arial"/>
        <family val="2"/>
      </rPr>
      <t>OH</t>
    </r>
  </si>
  <si>
    <t>for data weighting</t>
  </si>
  <si>
    <r>
      <t>CH</t>
    </r>
    <r>
      <rPr>
        <sz val="10"/>
        <rFont val="Arial"/>
        <family val="2"/>
      </rPr>
      <t>Reg</t>
    </r>
    <r>
      <rPr>
        <b/>
        <sz val="10"/>
        <rFont val="Arial"/>
        <family val="2"/>
      </rPr>
      <t>-CH</t>
    </r>
    <r>
      <rPr>
        <sz val="10"/>
        <rFont val="Arial"/>
        <family val="2"/>
      </rPr>
      <t>calc</t>
    </r>
  </si>
  <si>
    <r>
      <t>CH</t>
    </r>
    <r>
      <rPr>
        <sz val="10"/>
        <rFont val="Arial"/>
        <family val="2"/>
      </rPr>
      <t>calc</t>
    </r>
  </si>
  <si>
    <t xml:space="preserve">  initial p[H]</t>
  </si>
  <si>
    <r>
      <t xml:space="preserve">  initial p[OH] for ionic strength</t>
    </r>
    <r>
      <rPr>
        <sz val="10"/>
        <rFont val="Bookman Old Style"/>
        <family val="1"/>
      </rPr>
      <t>, I</t>
    </r>
  </si>
  <si>
    <r>
      <t>Titrand [H]=10</t>
    </r>
    <r>
      <rPr>
        <vertAlign val="superscript"/>
        <sz val="12"/>
        <rFont val="Arial"/>
        <family val="2"/>
      </rPr>
      <t>-p[H]</t>
    </r>
  </si>
  <si>
    <t>Titrand [OH]=Kw/[H]</t>
  </si>
  <si>
    <t>Sample CHcalc</t>
  </si>
  <si>
    <r>
      <t>SS</t>
    </r>
    <r>
      <rPr>
        <sz val="10"/>
        <color indexed="60"/>
        <rFont val="Arial"/>
        <family val="2"/>
      </rPr>
      <t>[HiB]</t>
    </r>
  </si>
  <si>
    <r>
      <t>SS</t>
    </r>
    <r>
      <rPr>
        <sz val="10"/>
        <rFont val="Arial"/>
        <family val="2"/>
      </rPr>
      <t>[H] bound</t>
    </r>
  </si>
  <si>
    <r>
      <t xml:space="preserve">Weights: exponent </t>
    </r>
    <r>
      <rPr>
        <b/>
        <sz val="10"/>
        <rFont val="Arial"/>
        <family val="2"/>
      </rPr>
      <t>a</t>
    </r>
  </si>
  <si>
    <r>
      <t xml:space="preserve">exponent </t>
    </r>
    <r>
      <rPr>
        <b/>
        <sz val="10"/>
        <rFont val="Arial"/>
        <family val="2"/>
      </rPr>
      <t>c</t>
    </r>
    <r>
      <rPr>
        <sz val="10"/>
        <rFont val="Arial"/>
        <family val="2"/>
      </rPr>
      <t xml:space="preserve">  </t>
    </r>
  </si>
  <si>
    <r>
      <t xml:space="preserve">exponent </t>
    </r>
    <r>
      <rPr>
        <b/>
        <sz val="10"/>
        <rFont val="Arial"/>
        <family val="2"/>
      </rPr>
      <t>b</t>
    </r>
    <r>
      <rPr>
        <sz val="10"/>
        <rFont val="Arial"/>
        <family val="2"/>
      </rPr>
      <t xml:space="preserve">   </t>
    </r>
  </si>
  <si>
    <t>Partial charge balance &lt;--&gt; counterions (opposite signal)</t>
  </si>
  <si>
    <r>
      <t>pH</t>
    </r>
    <r>
      <rPr>
        <b/>
        <vertAlign val="subscript"/>
        <sz val="12"/>
        <rFont val="Arial"/>
        <family val="2"/>
      </rPr>
      <t>Reg</t>
    </r>
    <r>
      <rPr>
        <b/>
        <sz val="12"/>
        <rFont val="Arial"/>
        <family val="2"/>
      </rPr>
      <t xml:space="preserve">- </t>
    </r>
    <r>
      <rPr>
        <b/>
        <sz val="10"/>
        <rFont val="Arial"/>
        <family val="2"/>
      </rPr>
      <t>pH</t>
    </r>
  </si>
  <si>
    <t>Vol. added</t>
  </si>
  <si>
    <t>SAMPLE
Species</t>
  </si>
  <si>
    <t>TITRANT</t>
  </si>
  <si>
    <r>
      <t xml:space="preserve">&lt;--- Minimize </t>
    </r>
    <r>
      <rPr>
        <b/>
        <sz val="12"/>
        <color indexed="43"/>
        <rFont val="Symbol"/>
        <family val="1"/>
        <charset val="2"/>
      </rPr>
      <t>S</t>
    </r>
    <r>
      <rPr>
        <b/>
        <sz val="10"/>
        <color indexed="43"/>
        <rFont val="Arial"/>
        <family val="2"/>
      </rPr>
      <t xml:space="preserve"> of weighted residuals product </t>
    </r>
    <r>
      <rPr>
        <sz val="10"/>
        <color indexed="43"/>
        <rFont val="Arial"/>
        <family val="2"/>
      </rPr>
      <t>with</t>
    </r>
    <r>
      <rPr>
        <b/>
        <sz val="10"/>
        <color indexed="43"/>
        <rFont val="Arial"/>
        <family val="2"/>
      </rPr>
      <t xml:space="preserve"> Solver</t>
    </r>
  </si>
  <si>
    <r>
      <t>&lt;--- Find CH</t>
    </r>
    <r>
      <rPr>
        <b/>
        <vertAlign val="subscript"/>
        <sz val="12"/>
        <color indexed="43"/>
        <rFont val="Arial"/>
        <family val="2"/>
      </rPr>
      <t>Reg</t>
    </r>
    <r>
      <rPr>
        <b/>
        <sz val="10"/>
        <color indexed="43"/>
        <rFont val="Arial"/>
        <family val="2"/>
      </rPr>
      <t xml:space="preserve">, concentrations </t>
    </r>
    <r>
      <rPr>
        <sz val="10"/>
        <color indexed="43"/>
        <rFont val="Arial"/>
        <family val="2"/>
      </rPr>
      <t xml:space="preserve">(line 11, in blue) and </t>
    </r>
    <r>
      <rPr>
        <b/>
        <sz val="10"/>
        <color indexed="43"/>
        <rFont val="Arial"/>
        <family val="2"/>
      </rPr>
      <t>pKas</t>
    </r>
    <r>
      <rPr>
        <sz val="10"/>
        <color indexed="43"/>
        <rFont val="Arial"/>
        <family val="2"/>
      </rPr>
      <t xml:space="preserve"> with</t>
    </r>
    <r>
      <rPr>
        <b/>
        <sz val="10"/>
        <color indexed="43"/>
        <rFont val="Arial"/>
        <family val="2"/>
      </rPr>
      <t xml:space="preserve"> Solver</t>
    </r>
  </si>
  <si>
    <t>SAMPLE</t>
  </si>
  <si>
    <t>SAMPLE 
Species</t>
  </si>
  <si>
    <t>Volume of Titrand (mL)</t>
  </si>
  <si>
    <r>
      <rPr>
        <b/>
        <sz val="10"/>
        <color indexed="62"/>
        <rFont val="Arial"/>
        <family val="2"/>
      </rPr>
      <t>Volume of titrand</t>
    </r>
    <r>
      <rPr>
        <sz val="10"/>
        <color indexed="62"/>
        <rFont val="Arial"/>
        <family val="2"/>
      </rPr>
      <t xml:space="preserve"> (in mL)</t>
    </r>
  </si>
  <si>
    <r>
      <t xml:space="preserve">     Composition </t>
    </r>
    <r>
      <rPr>
        <sz val="11"/>
        <rFont val="Arial"/>
        <family val="2"/>
      </rPr>
      <t xml:space="preserve">of the </t>
    </r>
    <r>
      <rPr>
        <b/>
        <sz val="11"/>
        <rFont val="Arial"/>
        <family val="2"/>
      </rPr>
      <t xml:space="preserve">sample </t>
    </r>
    <r>
      <rPr>
        <sz val="11"/>
        <rFont val="Arial"/>
        <family val="2"/>
      </rPr>
      <t xml:space="preserve">(regression fit, in blue, and equilibrium at initial pH) and of the </t>
    </r>
    <r>
      <rPr>
        <b/>
        <sz val="11"/>
        <rFont val="Arial"/>
        <family val="2"/>
      </rPr>
      <t>titrant</t>
    </r>
    <r>
      <rPr>
        <sz val="11"/>
        <rFont val="Arial"/>
        <family val="2"/>
      </rPr>
      <t>; all concentrations in</t>
    </r>
    <r>
      <rPr>
        <b/>
        <sz val="11"/>
        <rFont val="Arial"/>
        <family val="2"/>
      </rPr>
      <t xml:space="preserve"> mol/L</t>
    </r>
  </si>
  <si>
    <t xml:space="preserve">Maximum titrant volume &amp; additions </t>
  </si>
  <si>
    <r>
      <rPr>
        <sz val="12"/>
        <rFont val="Symbol"/>
        <family val="1"/>
        <charset val="2"/>
      </rPr>
      <t>S(</t>
    </r>
    <r>
      <rPr>
        <sz val="10"/>
        <rFont val="Symbol"/>
        <family val="1"/>
        <charset val="2"/>
      </rPr>
      <t>|</t>
    </r>
    <r>
      <rPr>
        <sz val="10"/>
        <rFont val="Calibri"/>
        <family val="2"/>
      </rPr>
      <t>R</t>
    </r>
    <r>
      <rPr>
        <vertAlign val="subscript"/>
        <sz val="12"/>
        <rFont val="Arial"/>
        <family val="2"/>
      </rPr>
      <t>CH</t>
    </r>
    <r>
      <rPr>
        <sz val="10"/>
        <rFont val="Symbol"/>
        <family val="1"/>
        <charset val="2"/>
      </rPr>
      <t>|</t>
    </r>
    <r>
      <rPr>
        <vertAlign val="superscript"/>
        <sz val="12"/>
        <rFont val="Arial"/>
        <family val="2"/>
      </rPr>
      <t>a</t>
    </r>
    <r>
      <rPr>
        <sz val="10"/>
        <rFont val="Symbol"/>
        <family val="1"/>
        <charset val="2"/>
      </rPr>
      <t>×|</t>
    </r>
    <r>
      <rPr>
        <sz val="10"/>
        <rFont val="Calibri"/>
        <family val="2"/>
      </rPr>
      <t>R</t>
    </r>
    <r>
      <rPr>
        <vertAlign val="subscript"/>
        <sz val="12"/>
        <rFont val="Arial"/>
        <family val="2"/>
      </rPr>
      <t>pH</t>
    </r>
    <r>
      <rPr>
        <sz val="10"/>
        <rFont val="Symbol"/>
        <family val="1"/>
        <charset val="2"/>
      </rPr>
      <t>|</t>
    </r>
    <r>
      <rPr>
        <vertAlign val="superscript"/>
        <sz val="12"/>
        <rFont val="Arial"/>
        <family val="2"/>
      </rPr>
      <t>b</t>
    </r>
    <r>
      <rPr>
        <sz val="10"/>
        <rFont val="Symbol"/>
        <family val="1"/>
        <charset val="2"/>
      </rPr>
      <t>×|</t>
    </r>
    <r>
      <rPr>
        <sz val="10"/>
        <rFont val="Calibri"/>
        <family val="2"/>
      </rPr>
      <t>d</t>
    </r>
    <r>
      <rPr>
        <vertAlign val="subscript"/>
        <sz val="12"/>
        <rFont val="Arial"/>
        <family val="2"/>
      </rPr>
      <t>pH</t>
    </r>
    <r>
      <rPr>
        <sz val="10"/>
        <rFont val="Symbol"/>
        <family val="1"/>
        <charset val="2"/>
      </rPr>
      <t>|</t>
    </r>
    <r>
      <rPr>
        <vertAlign val="superscript"/>
        <sz val="12"/>
        <rFont val="Arial"/>
        <family val="2"/>
      </rPr>
      <t>c</t>
    </r>
    <r>
      <rPr>
        <sz val="12"/>
        <rFont val="Symbol"/>
        <family val="1"/>
        <charset val="2"/>
      </rPr>
      <t>)</t>
    </r>
  </si>
  <si>
    <t>of</t>
  </si>
  <si>
    <r>
      <t xml:space="preserve">at ionic strength </t>
    </r>
    <r>
      <rPr>
        <sz val="12"/>
        <rFont val="Bookman Old Style"/>
        <family val="1"/>
      </rPr>
      <t xml:space="preserve">I </t>
    </r>
    <r>
      <rPr>
        <sz val="11"/>
        <rFont val="Arial"/>
        <family val="2"/>
      </rPr>
      <t>(mol/L)</t>
    </r>
  </si>
  <si>
    <r>
      <t xml:space="preserve">at </t>
    </r>
    <r>
      <rPr>
        <sz val="12"/>
        <rFont val="Symbol"/>
        <family val="1"/>
        <charset val="2"/>
      </rPr>
      <t>S</t>
    </r>
    <r>
      <rPr>
        <sz val="11"/>
        <rFont val="Arial"/>
        <family val="2"/>
      </rPr>
      <t>[HiB] (mol/L)</t>
    </r>
  </si>
  <si>
    <r>
      <rPr>
        <sz val="14"/>
        <rFont val="Symbol"/>
        <family val="1"/>
        <charset val="2"/>
      </rPr>
      <t>g</t>
    </r>
    <r>
      <rPr>
        <vertAlign val="subscript"/>
        <sz val="12"/>
        <rFont val="Arial"/>
        <family val="2"/>
      </rPr>
      <t>H+</t>
    </r>
  </si>
  <si>
    <t>Protonations, n</t>
  </si>
  <si>
    <t>for</t>
  </si>
  <si>
    <t xml:space="preserve">Plot all curves overlaid on  </t>
  </si>
  <si>
    <r>
      <t xml:space="preserve">   Overall protonation constants </t>
    </r>
    <r>
      <rPr>
        <sz val="12"/>
        <rFont val="Symbol"/>
        <family val="1"/>
        <charset val="2"/>
      </rPr>
      <t>b</t>
    </r>
    <r>
      <rPr>
        <sz val="10"/>
        <rFont val="Arial"/>
        <family val="2"/>
      </rPr>
      <t>p</t>
    </r>
  </si>
  <si>
    <r>
      <t xml:space="preserve">Corrected for </t>
    </r>
    <r>
      <rPr>
        <sz val="11"/>
        <rFont val="Bookman Old Style"/>
        <family val="1"/>
      </rPr>
      <t>I</t>
    </r>
  </si>
  <si>
    <t>Species</t>
  </si>
  <si>
    <t>Curve color</t>
  </si>
  <si>
    <r>
      <rPr>
        <sz val="10"/>
        <rFont val="Arial"/>
        <family val="2"/>
      </rPr>
      <t xml:space="preserve">Ionic strength, </t>
    </r>
    <r>
      <rPr>
        <sz val="11"/>
        <rFont val="Bookman Old Style"/>
        <family val="1"/>
      </rPr>
      <t xml:space="preserve">I </t>
    </r>
  </si>
  <si>
    <t>Version 2, improved and adapted for titrations with coulometric generation of reactants, was released in 1992.</t>
  </si>
  <si>
    <t>Versions 4.1.1 to 4.1.3, January 2015 minor corrections and improved comments on ionic strength calculations.</t>
  </si>
  <si>
    <t>Version 3.3, January 2008, has a friendlier interface with the Database and includes logarithmic distribution diagram generation overlaid on the titration curve.</t>
  </si>
  <si>
    <t>Version 3.4, October 2008, extends Ionic strength and activity coefficient calculations to the Regression module (formerly available only in pH_calc).</t>
  </si>
  <si>
    <r>
      <t xml:space="preserve">Version 4.2.0, February 2015 - Extended data weighting options in </t>
    </r>
    <r>
      <rPr>
        <b/>
        <sz val="12"/>
        <rFont val="Arial"/>
        <family val="2"/>
      </rPr>
      <t>Regression</t>
    </r>
    <r>
      <rPr>
        <sz val="12"/>
        <rFont val="Arial"/>
        <family val="2"/>
      </rPr>
      <t xml:space="preserve">; ionic strength effect correction added to </t>
    </r>
    <r>
      <rPr>
        <b/>
        <sz val="12"/>
        <rFont val="Arial"/>
        <family val="2"/>
      </rPr>
      <t>Distribution</t>
    </r>
    <r>
      <rPr>
        <sz val="12"/>
        <rFont val="Arial"/>
        <family val="2"/>
      </rPr>
      <t>.</t>
    </r>
  </si>
  <si>
    <r>
      <t>Version 4.1, February 2014 -</t>
    </r>
    <r>
      <rPr>
        <b/>
        <sz val="12"/>
        <rFont val="Arial"/>
        <family val="2"/>
      </rPr>
      <t xml:space="preserve"> Titration </t>
    </r>
    <r>
      <rPr>
        <sz val="12"/>
        <rFont val="Arial"/>
        <family val="2"/>
      </rPr>
      <t>module now imports Indicator colors from Database; Distribution, Evaluation and Analysis modules import data also from Titration.</t>
    </r>
  </si>
  <si>
    <t xml:space="preserve">1. Open a new blank Excel spreadsheet </t>
  </si>
  <si>
    <r>
      <t xml:space="preserve">2. Click on the </t>
    </r>
    <r>
      <rPr>
        <b/>
        <sz val="12"/>
        <rFont val="Arial"/>
        <family val="2"/>
      </rPr>
      <t>File</t>
    </r>
    <r>
      <rPr>
        <sz val="12"/>
        <rFont val="Arial"/>
        <family val="2"/>
      </rPr>
      <t xml:space="preserve"> tab (or the Office button, in Windows XP)(top left corner)</t>
    </r>
  </si>
  <si>
    <t xml:space="preserve">How to enable macros in MS Excel 97-2003: </t>
  </si>
  <si>
    <t xml:space="preserve">     is trustworthy and contains no harmful code.</t>
  </si>
  <si>
    <t xml:space="preserve">     All macros are fully removed when closing the file.</t>
  </si>
  <si>
    <t xml:space="preserve">     Needless to say, CurTiPot, freely distributed by the author since 1992,</t>
  </si>
  <si>
    <r>
      <t>3. Click on "</t>
    </r>
    <r>
      <rPr>
        <b/>
        <sz val="12"/>
        <rFont val="Arial"/>
        <family val="2"/>
      </rPr>
      <t>Options</t>
    </r>
    <r>
      <rPr>
        <sz val="12"/>
        <rFont val="Arial"/>
        <family val="2"/>
      </rPr>
      <t>" (bottom left)</t>
    </r>
  </si>
  <si>
    <r>
      <t>4. Click on "</t>
    </r>
    <r>
      <rPr>
        <b/>
        <sz val="12"/>
        <rFont val="Arial"/>
        <family val="2"/>
      </rPr>
      <t>Trust Center</t>
    </r>
    <r>
      <rPr>
        <sz val="12"/>
        <rFont val="Arial"/>
        <family val="2"/>
      </rPr>
      <t>" (bottom left)</t>
    </r>
  </si>
  <si>
    <r>
      <t>2. Click on the "</t>
    </r>
    <r>
      <rPr>
        <b/>
        <sz val="12"/>
        <rFont val="Arial"/>
        <family val="2"/>
      </rPr>
      <t>Tools</t>
    </r>
    <r>
      <rPr>
        <sz val="12"/>
        <rFont val="Arial"/>
        <family val="2"/>
      </rPr>
      <t>" tab</t>
    </r>
  </si>
  <si>
    <r>
      <t>3. Select "</t>
    </r>
    <r>
      <rPr>
        <b/>
        <sz val="12"/>
        <rFont val="Arial"/>
        <family val="2"/>
      </rPr>
      <t>Macro</t>
    </r>
    <r>
      <rPr>
        <sz val="12"/>
        <rFont val="Arial"/>
        <family val="2"/>
      </rPr>
      <t>"</t>
    </r>
  </si>
  <si>
    <r>
      <t>4. Select "</t>
    </r>
    <r>
      <rPr>
        <b/>
        <sz val="12"/>
        <rFont val="Arial"/>
        <family val="2"/>
      </rPr>
      <t>Security</t>
    </r>
    <r>
      <rPr>
        <sz val="12"/>
        <rFont val="Arial"/>
        <family val="2"/>
      </rPr>
      <t>"</t>
    </r>
  </si>
  <si>
    <r>
      <t>5. Select "</t>
    </r>
    <r>
      <rPr>
        <b/>
        <sz val="12"/>
        <rFont val="Arial"/>
        <family val="2"/>
      </rPr>
      <t>Security level</t>
    </r>
    <r>
      <rPr>
        <sz val="12"/>
        <rFont val="Arial"/>
        <family val="2"/>
      </rPr>
      <t>"</t>
    </r>
  </si>
  <si>
    <r>
      <t>6. Select "</t>
    </r>
    <r>
      <rPr>
        <b/>
        <sz val="12"/>
        <rFont val="Arial"/>
        <family val="2"/>
      </rPr>
      <t>Medium</t>
    </r>
    <r>
      <rPr>
        <sz val="12"/>
        <rFont val="Arial"/>
        <family val="2"/>
      </rPr>
      <t>"</t>
    </r>
  </si>
  <si>
    <r>
      <t xml:space="preserve">7. Open the </t>
    </r>
    <r>
      <rPr>
        <b/>
        <sz val="12"/>
        <rFont val="Arial"/>
        <family val="2"/>
      </rPr>
      <t>CurTiPot</t>
    </r>
    <r>
      <rPr>
        <sz val="12"/>
        <rFont val="Arial"/>
        <family val="2"/>
      </rPr>
      <t xml:space="preserve"> file and </t>
    </r>
    <r>
      <rPr>
        <b/>
        <sz val="12"/>
        <rFont val="Arial"/>
        <family val="2"/>
      </rPr>
      <t>enable</t>
    </r>
    <r>
      <rPr>
        <sz val="12"/>
        <rFont val="Arial"/>
        <family val="2"/>
      </rPr>
      <t xml:space="preserve"> the content</t>
    </r>
  </si>
  <si>
    <r>
      <t>7. Click on "</t>
    </r>
    <r>
      <rPr>
        <b/>
        <sz val="12"/>
        <rFont val="Arial"/>
        <family val="2"/>
      </rPr>
      <t>Disable macros with notification</t>
    </r>
    <r>
      <rPr>
        <sz val="12"/>
        <rFont val="Arial"/>
        <family val="2"/>
      </rPr>
      <t>"</t>
    </r>
  </si>
  <si>
    <r>
      <t xml:space="preserve">9. Open the </t>
    </r>
    <r>
      <rPr>
        <b/>
        <sz val="12"/>
        <rFont val="Arial"/>
        <family val="2"/>
      </rPr>
      <t>CurTiPot</t>
    </r>
    <r>
      <rPr>
        <sz val="12"/>
        <rFont val="Arial"/>
        <family val="2"/>
      </rPr>
      <t xml:space="preserve"> file</t>
    </r>
  </si>
  <si>
    <r>
      <t>10. When the "</t>
    </r>
    <r>
      <rPr>
        <b/>
        <sz val="12"/>
        <rFont val="Arial"/>
        <family val="2"/>
      </rPr>
      <t>Security warning</t>
    </r>
    <r>
      <rPr>
        <sz val="12"/>
        <rFont val="Arial"/>
        <family val="2"/>
      </rPr>
      <t xml:space="preserve">" shows up, click on it to </t>
    </r>
    <r>
      <rPr>
        <b/>
        <sz val="12"/>
        <rFont val="Arial"/>
        <family val="2"/>
      </rPr>
      <t>enable</t>
    </r>
    <r>
      <rPr>
        <sz val="12"/>
        <rFont val="Arial"/>
        <family val="2"/>
      </rPr>
      <t xml:space="preserve"> content</t>
    </r>
  </si>
  <si>
    <t>Besides enabled macros, the Regression module also requires the Solver,</t>
  </si>
  <si>
    <t>an Add-In supplement provided by Microsoft with the Office package</t>
  </si>
  <si>
    <t>If not already installed, follow the instructions (may change a bit, for different Excel versions)</t>
  </si>
  <si>
    <r>
      <t xml:space="preserve">2. Click on the </t>
    </r>
    <r>
      <rPr>
        <b/>
        <sz val="11"/>
        <rFont val="Arial"/>
        <family val="2"/>
      </rPr>
      <t>File</t>
    </r>
    <r>
      <rPr>
        <sz val="11"/>
        <rFont val="Arial"/>
        <family val="2"/>
      </rPr>
      <t xml:space="preserve"> tab (or the Office button, in Windows XP)(top left corner)</t>
    </r>
  </si>
  <si>
    <r>
      <t>3. Click on "</t>
    </r>
    <r>
      <rPr>
        <b/>
        <sz val="11"/>
        <rFont val="Arial"/>
        <family val="2"/>
      </rPr>
      <t>Options</t>
    </r>
    <r>
      <rPr>
        <sz val="11"/>
        <rFont val="Arial"/>
        <family val="2"/>
      </rPr>
      <t>" (bottom left)</t>
    </r>
  </si>
  <si>
    <r>
      <t>4. Click on "</t>
    </r>
    <r>
      <rPr>
        <b/>
        <sz val="11"/>
        <rFont val="Arial"/>
        <family val="2"/>
      </rPr>
      <t>Add-ins</t>
    </r>
    <r>
      <rPr>
        <sz val="11"/>
        <rFont val="Arial"/>
        <family val="2"/>
      </rPr>
      <t>" (bottom left)</t>
    </r>
  </si>
  <si>
    <r>
      <t>5. Click on "</t>
    </r>
    <r>
      <rPr>
        <b/>
        <sz val="11"/>
        <rFont val="Arial"/>
        <family val="2"/>
      </rPr>
      <t>Solver</t>
    </r>
    <r>
      <rPr>
        <sz val="11"/>
        <rFont val="Arial"/>
        <family val="2"/>
      </rPr>
      <t>" in the Add-Ins list</t>
    </r>
  </si>
  <si>
    <r>
      <t xml:space="preserve">7. Check </t>
    </r>
    <r>
      <rPr>
        <b/>
        <sz val="11"/>
        <rFont val="Arial"/>
        <family val="2"/>
      </rPr>
      <t>Solver</t>
    </r>
    <r>
      <rPr>
        <sz val="11"/>
        <rFont val="Arial"/>
        <family val="2"/>
      </rPr>
      <t xml:space="preserve"> add-in in the pop-on box </t>
    </r>
  </si>
  <si>
    <r>
      <t xml:space="preserve">9. Open the </t>
    </r>
    <r>
      <rPr>
        <b/>
        <sz val="11"/>
        <rFont val="Arial"/>
        <family val="2"/>
      </rPr>
      <t>CurTiPot</t>
    </r>
    <r>
      <rPr>
        <sz val="11"/>
        <rFont val="Arial"/>
        <family val="2"/>
      </rPr>
      <t xml:space="preserve"> file and click on the </t>
    </r>
    <r>
      <rPr>
        <b/>
        <sz val="11"/>
        <rFont val="Arial"/>
        <family val="2"/>
      </rPr>
      <t>Regression</t>
    </r>
    <r>
      <rPr>
        <sz val="11"/>
        <rFont val="Arial"/>
        <family val="2"/>
      </rPr>
      <t xml:space="preserve"> lower tab</t>
    </r>
  </si>
  <si>
    <r>
      <t xml:space="preserve">To learn from the authors' of Excel </t>
    </r>
    <r>
      <rPr>
        <b/>
        <sz val="11"/>
        <rFont val="Arial"/>
        <family val="2"/>
      </rPr>
      <t>Solver</t>
    </r>
    <r>
      <rPr>
        <sz val="11"/>
        <rFont val="Arial"/>
        <family val="2"/>
      </rPr>
      <t xml:space="preserve"> about the </t>
    </r>
    <r>
      <rPr>
        <b/>
        <sz val="11"/>
        <rFont val="Arial"/>
        <family val="2"/>
      </rPr>
      <t>design, uses and limitations</t>
    </r>
  </si>
  <si>
    <r>
      <t xml:space="preserve">8. Click </t>
    </r>
    <r>
      <rPr>
        <b/>
        <sz val="12"/>
        <rFont val="Arial"/>
        <family val="2"/>
      </rPr>
      <t>OK</t>
    </r>
    <r>
      <rPr>
        <sz val="12"/>
        <rFont val="Arial"/>
        <family val="2"/>
      </rPr>
      <t>; follow steps 1 to 8 only once on each computer</t>
    </r>
  </si>
  <si>
    <r>
      <t>4. Click on "</t>
    </r>
    <r>
      <rPr>
        <b/>
        <sz val="11"/>
        <rFont val="Arial"/>
        <family val="2"/>
      </rPr>
      <t>Trust Center</t>
    </r>
    <r>
      <rPr>
        <sz val="11"/>
        <rFont val="Arial"/>
        <family val="2"/>
      </rPr>
      <t>" (bottom left)</t>
    </r>
  </si>
  <si>
    <r>
      <t>7. Click on "</t>
    </r>
    <r>
      <rPr>
        <b/>
        <sz val="11"/>
        <rFont val="Arial"/>
        <family val="2"/>
      </rPr>
      <t>Disable macros with notification</t>
    </r>
    <r>
      <rPr>
        <sz val="11"/>
        <rFont val="Arial"/>
        <family val="2"/>
      </rPr>
      <t>"</t>
    </r>
  </si>
  <si>
    <r>
      <t xml:space="preserve">8. Click </t>
    </r>
    <r>
      <rPr>
        <b/>
        <sz val="11"/>
        <rFont val="Arial"/>
        <family val="2"/>
      </rPr>
      <t>OK</t>
    </r>
    <r>
      <rPr>
        <sz val="11"/>
        <rFont val="Arial"/>
        <family val="2"/>
      </rPr>
      <t>; follow steps 1 to 8 only once on each computer</t>
    </r>
  </si>
  <si>
    <r>
      <t xml:space="preserve">9. Open the </t>
    </r>
    <r>
      <rPr>
        <b/>
        <sz val="11"/>
        <rFont val="Arial"/>
        <family val="2"/>
      </rPr>
      <t>CurTiPot</t>
    </r>
    <r>
      <rPr>
        <sz val="11"/>
        <rFont val="Arial"/>
        <family val="2"/>
      </rPr>
      <t xml:space="preserve"> file</t>
    </r>
  </si>
  <si>
    <r>
      <t>10. When the "</t>
    </r>
    <r>
      <rPr>
        <b/>
        <sz val="11"/>
        <rFont val="Arial"/>
        <family val="2"/>
      </rPr>
      <t>Security warning</t>
    </r>
    <r>
      <rPr>
        <sz val="11"/>
        <rFont val="Arial"/>
        <family val="2"/>
      </rPr>
      <t xml:space="preserve">" shows up, click on it to </t>
    </r>
    <r>
      <rPr>
        <b/>
        <sz val="11"/>
        <rFont val="Arial"/>
        <family val="2"/>
      </rPr>
      <t>enable</t>
    </r>
    <r>
      <rPr>
        <sz val="11"/>
        <rFont val="Arial"/>
        <family val="2"/>
      </rPr>
      <t xml:space="preserve"> content</t>
    </r>
  </si>
  <si>
    <r>
      <t>2. Click on the "</t>
    </r>
    <r>
      <rPr>
        <b/>
        <sz val="11"/>
        <rFont val="Arial"/>
        <family val="2"/>
      </rPr>
      <t>Tools</t>
    </r>
    <r>
      <rPr>
        <sz val="11"/>
        <rFont val="Arial"/>
        <family val="2"/>
      </rPr>
      <t>" tab</t>
    </r>
  </si>
  <si>
    <r>
      <t>3. Select "</t>
    </r>
    <r>
      <rPr>
        <b/>
        <sz val="11"/>
        <rFont val="Arial"/>
        <family val="2"/>
      </rPr>
      <t>Macro</t>
    </r>
    <r>
      <rPr>
        <sz val="11"/>
        <rFont val="Arial"/>
        <family val="2"/>
      </rPr>
      <t>"</t>
    </r>
  </si>
  <si>
    <r>
      <t>4. Select "</t>
    </r>
    <r>
      <rPr>
        <b/>
        <sz val="11"/>
        <rFont val="Arial"/>
        <family val="2"/>
      </rPr>
      <t>Security</t>
    </r>
    <r>
      <rPr>
        <sz val="11"/>
        <rFont val="Arial"/>
        <family val="2"/>
      </rPr>
      <t>"</t>
    </r>
  </si>
  <si>
    <r>
      <t>5. Select "</t>
    </r>
    <r>
      <rPr>
        <b/>
        <sz val="11"/>
        <rFont val="Arial"/>
        <family val="2"/>
      </rPr>
      <t>Security level</t>
    </r>
    <r>
      <rPr>
        <sz val="11"/>
        <rFont val="Arial"/>
        <family val="2"/>
      </rPr>
      <t>"</t>
    </r>
  </si>
  <si>
    <r>
      <t>6. Select "</t>
    </r>
    <r>
      <rPr>
        <b/>
        <sz val="11"/>
        <rFont val="Arial"/>
        <family val="2"/>
      </rPr>
      <t>Medium</t>
    </r>
    <r>
      <rPr>
        <sz val="11"/>
        <rFont val="Arial"/>
        <family val="2"/>
      </rPr>
      <t>"</t>
    </r>
  </si>
  <si>
    <r>
      <t xml:space="preserve">7. Open the </t>
    </r>
    <r>
      <rPr>
        <b/>
        <sz val="11"/>
        <rFont val="Arial"/>
        <family val="2"/>
      </rPr>
      <t>CurTiPot</t>
    </r>
    <r>
      <rPr>
        <sz val="11"/>
        <rFont val="Arial"/>
        <family val="2"/>
      </rPr>
      <t xml:space="preserve"> file and </t>
    </r>
    <r>
      <rPr>
        <b/>
        <sz val="11"/>
        <rFont val="Arial"/>
        <family val="2"/>
      </rPr>
      <t>enable</t>
    </r>
    <r>
      <rPr>
        <sz val="11"/>
        <rFont val="Arial"/>
        <family val="2"/>
      </rPr>
      <t xml:space="preserve"> the content</t>
    </r>
  </si>
  <si>
    <r>
      <t xml:space="preserve">To read about the name, origins and customers of </t>
    </r>
    <r>
      <rPr>
        <sz val="12"/>
        <rFont val="Bookman Old Style"/>
        <family val="1"/>
      </rPr>
      <t>CurTiPot</t>
    </r>
    <r>
      <rPr>
        <sz val="12"/>
        <rFont val="Arial"/>
        <family val="2"/>
      </rPr>
      <t xml:space="preserve"> hold the mouse on the red marked cell Q34.</t>
    </r>
  </si>
  <si>
    <t>http://scholar.google.com.br/citations?user=qXFK1_YAAAAJ&amp;hl=pt-BR</t>
  </si>
  <si>
    <t>a nice beach where I took some pictures; search Google for: guaeca panoramio gutz</t>
  </si>
  <si>
    <t>Click C22</t>
  </si>
  <si>
    <t>to update AT --&gt;</t>
  </si>
  <si>
    <r>
      <t xml:space="preserve">•  </t>
    </r>
    <r>
      <rPr>
        <b/>
        <sz val="13"/>
        <rFont val="Arial"/>
        <family val="2"/>
      </rPr>
      <t>Database</t>
    </r>
    <r>
      <rPr>
        <sz val="13"/>
        <rFont val="Arial"/>
        <family val="2"/>
      </rPr>
      <t xml:space="preserve"> with equilibrium constants (pK</t>
    </r>
    <r>
      <rPr>
        <vertAlign val="subscript"/>
        <sz val="14"/>
        <rFont val="Arial"/>
        <family val="2"/>
      </rPr>
      <t>a</t>
    </r>
    <r>
      <rPr>
        <sz val="13"/>
        <rFont val="Arial"/>
        <family val="2"/>
      </rPr>
      <t xml:space="preserve">) of 250 acid-base systems including amino acids and some indicators (expandable by the user) </t>
    </r>
  </si>
  <si>
    <r>
      <t>5. Click on "</t>
    </r>
    <r>
      <rPr>
        <b/>
        <sz val="12"/>
        <rFont val="Arial"/>
        <family val="2"/>
      </rPr>
      <t>Trust Center Settings</t>
    </r>
    <r>
      <rPr>
        <sz val="12"/>
        <rFont val="Arial"/>
        <family val="2"/>
      </rPr>
      <t>" (bottom right)</t>
    </r>
  </si>
  <si>
    <r>
      <t>6. Click on "</t>
    </r>
    <r>
      <rPr>
        <b/>
        <sz val="12"/>
        <rFont val="Arial"/>
        <family val="2"/>
      </rPr>
      <t>Macro Settings</t>
    </r>
    <r>
      <rPr>
        <sz val="12"/>
        <rFont val="Arial"/>
        <family val="2"/>
      </rPr>
      <t>"</t>
    </r>
  </si>
  <si>
    <r>
      <t>5. Click on "</t>
    </r>
    <r>
      <rPr>
        <b/>
        <sz val="11"/>
        <rFont val="Arial"/>
        <family val="2"/>
      </rPr>
      <t>Trust Center Settings</t>
    </r>
    <r>
      <rPr>
        <sz val="11"/>
        <rFont val="Arial"/>
        <family val="2"/>
      </rPr>
      <t>" (bottom right)</t>
    </r>
  </si>
  <si>
    <r>
      <t>6. Click on "</t>
    </r>
    <r>
      <rPr>
        <b/>
        <sz val="11"/>
        <rFont val="Arial"/>
        <family val="2"/>
      </rPr>
      <t>Macro Settings</t>
    </r>
    <r>
      <rPr>
        <sz val="11"/>
        <rFont val="Arial"/>
        <family val="2"/>
      </rPr>
      <t>"</t>
    </r>
  </si>
  <si>
    <t xml:space="preserve">     Sample and titrant (standard) composition (concentrations in mol/L)</t>
  </si>
  <si>
    <r>
      <t xml:space="preserve">   Overall apparent constants </t>
    </r>
    <r>
      <rPr>
        <sz val="11"/>
        <rFont val="Arial"/>
        <family val="2"/>
      </rPr>
      <t xml:space="preserve">recalculated for applied initial </t>
    </r>
    <r>
      <rPr>
        <sz val="11"/>
        <rFont val="Bookman Old Style"/>
        <family val="1"/>
      </rPr>
      <t>I</t>
    </r>
    <r>
      <rPr>
        <sz val="11"/>
        <rFont val="Arial"/>
        <family val="2"/>
      </rPr>
      <t xml:space="preserve"> =</t>
    </r>
  </si>
  <si>
    <r>
      <t>SS</t>
    </r>
    <r>
      <rPr>
        <sz val="10"/>
        <rFont val="Arial"/>
        <family val="2"/>
      </rPr>
      <t>[H] max. free H</t>
    </r>
    <r>
      <rPr>
        <vertAlign val="superscript"/>
        <sz val="11"/>
        <rFont val="Arial"/>
        <family val="2"/>
      </rPr>
      <t>+</t>
    </r>
    <r>
      <rPr>
        <sz val="10"/>
        <rFont val="Arial"/>
        <family val="2"/>
      </rPr>
      <t xml:space="preserve"> </t>
    </r>
  </si>
  <si>
    <r>
      <t>6. Click on "</t>
    </r>
    <r>
      <rPr>
        <b/>
        <sz val="11"/>
        <rFont val="Arial"/>
        <family val="2"/>
      </rPr>
      <t>Go</t>
    </r>
    <r>
      <rPr>
        <sz val="11"/>
        <rFont val="Arial"/>
        <family val="2"/>
      </rPr>
      <t>" near the bottom of the page</t>
    </r>
  </si>
  <si>
    <t xml:space="preserve">Retained formed curves  </t>
  </si>
  <si>
    <t>Molar fraction of each species as a function of pH</t>
  </si>
  <si>
    <t>logarithm of molar fraction of each species as a function of pH</t>
  </si>
  <si>
    <t xml:space="preserve">Volume of titrand (sample pipetted into cell)  </t>
  </si>
  <si>
    <t>Dissociation constants of  inorganic and organic compounds (compilation with 33 pages)</t>
  </si>
  <si>
    <t>Primary standard buffer solutions pH at various temperatures</t>
  </si>
  <si>
    <t>Acid or Base</t>
  </si>
  <si>
    <r>
      <rPr>
        <u/>
        <sz val="11"/>
        <rFont val="Arial"/>
        <family val="2"/>
      </rPr>
      <t>Window for Mac:</t>
    </r>
    <r>
      <rPr>
        <sz val="11"/>
        <rFont val="Arial"/>
        <family val="2"/>
      </rPr>
      <t xml:space="preserve">  skip step </t>
    </r>
    <r>
      <rPr>
        <b/>
        <sz val="11"/>
        <rFont val="Arial"/>
        <family val="2"/>
      </rPr>
      <t>2</t>
    </r>
    <r>
      <rPr>
        <sz val="11"/>
        <rFont val="Arial"/>
        <family val="2"/>
      </rPr>
      <t xml:space="preserve">, click </t>
    </r>
    <r>
      <rPr>
        <b/>
        <sz val="11"/>
        <rFont val="Arial"/>
        <family val="2"/>
      </rPr>
      <t>"Tools</t>
    </r>
    <r>
      <rPr>
        <sz val="11"/>
        <rFont val="Arial"/>
        <family val="2"/>
      </rPr>
      <t>"</t>
    </r>
  </si>
  <si>
    <r>
      <rPr>
        <u/>
        <sz val="11"/>
        <rFont val="Arial"/>
        <family val="2"/>
      </rPr>
      <t>Window for Mac:</t>
    </r>
    <r>
      <rPr>
        <sz val="11"/>
        <rFont val="Arial"/>
        <family val="2"/>
      </rPr>
      <t xml:space="preserve">  check the Solver box; skip 6 na 7</t>
    </r>
  </si>
  <si>
    <r>
      <t xml:space="preserve">10. Click on the upper </t>
    </r>
    <r>
      <rPr>
        <b/>
        <sz val="11"/>
        <rFont val="Arial"/>
        <family val="2"/>
      </rPr>
      <t>Data</t>
    </r>
    <r>
      <rPr>
        <sz val="11"/>
        <rFont val="Arial"/>
        <family val="2"/>
      </rPr>
      <t xml:space="preserve"> tab and click on </t>
    </r>
    <r>
      <rPr>
        <b/>
        <sz val="11"/>
        <rFont val="Arial"/>
        <family val="2"/>
      </rPr>
      <t>Solver</t>
    </r>
    <r>
      <rPr>
        <sz val="11"/>
        <rFont val="Arial"/>
        <family val="2"/>
      </rPr>
      <t xml:space="preserve"> in the </t>
    </r>
    <r>
      <rPr>
        <b/>
        <sz val="11"/>
        <rFont val="Arial"/>
        <family val="2"/>
      </rPr>
      <t>Analysis</t>
    </r>
    <r>
      <rPr>
        <sz val="11"/>
        <rFont val="Arial"/>
        <family val="2"/>
      </rPr>
      <t xml:space="preserve"> group (at the right)</t>
    </r>
  </si>
  <si>
    <t>Research interests, CV, publications, see: http://www.iq.usp.br/gutz and</t>
  </si>
  <si>
    <r>
      <rPr>
        <b/>
        <sz val="12"/>
        <rFont val="Arial"/>
        <family val="2"/>
      </rPr>
      <t>No</t>
    </r>
    <r>
      <rPr>
        <sz val="12"/>
        <rFont val="Arial"/>
        <family val="2"/>
      </rPr>
      <t xml:space="preserve"> installation is needed. Download the latest release of </t>
    </r>
    <r>
      <rPr>
        <sz val="12"/>
        <rFont val="Bookman Old Style"/>
        <family val="1"/>
      </rPr>
      <t>CurTiPot</t>
    </r>
    <r>
      <rPr>
        <sz val="12"/>
        <rFont val="Arial"/>
        <family val="2"/>
      </rPr>
      <t xml:space="preserve"> from www.iq.usp.br/gutz/Curtipot_.html and open the file with Microsoft Excel® </t>
    </r>
  </si>
  <si>
    <t>Titrant(s)</t>
  </si>
  <si>
    <t>recalc. for</t>
  </si>
  <si>
    <r>
      <rPr>
        <sz val="12"/>
        <rFont val="Symbol"/>
        <family val="1"/>
        <charset val="2"/>
      </rPr>
      <t xml:space="preserve">g </t>
    </r>
    <r>
      <rPr>
        <sz val="11"/>
        <rFont val="Arial"/>
        <family val="2"/>
      </rPr>
      <t>H</t>
    </r>
    <r>
      <rPr>
        <vertAlign val="superscript"/>
        <sz val="12"/>
        <rFont val="Arial"/>
        <family val="2"/>
      </rPr>
      <t>+</t>
    </r>
    <r>
      <rPr>
        <sz val="12"/>
        <rFont val="Arial"/>
        <family val="2"/>
      </rPr>
      <t>=</t>
    </r>
  </si>
  <si>
    <t xml:space="preserve"> Remark: this virtual titrator calculates "pH" values disregarding ion-ion interactions (pH calculations are available in the Simulation or pH_calc modules).</t>
  </si>
  <si>
    <t>Version 3.1 was the first release translated to English, launched on the internet in May 1st, 2006.</t>
  </si>
  <si>
    <t>Version  4.2.2, September 2015 - Cells to fill with concentrations of bases protoneted to neutrality are now underlined in green.</t>
  </si>
  <si>
    <t xml:space="preserve">     Curve copied</t>
  </si>
  <si>
    <t xml:space="preserve">      from Evaluation</t>
  </si>
  <si>
    <t>and plot Buffer Capacity</t>
  </si>
  <si>
    <t xml:space="preserve">[NaH2PO4] =  [H2PO4- titrated] - [H3PO4] = 0,1000 - 0,0501 = 0,0499 mol/L </t>
  </si>
  <si>
    <t>Buffer Reference Center</t>
  </si>
  <si>
    <t>https://www.sigmaaldrich.com/life-science/core-bioreagents/biological-buffers/learning-center/buffer-reference-center.html</t>
  </si>
  <si>
    <t>Online Buffer Calculator</t>
  </si>
  <si>
    <t>http://www.sigmaaldrich.com/life-science/core-bioreagents/biological-buffers/learning-center/buffer-calculator.html</t>
  </si>
  <si>
    <t>https://www.chem.wisc.edu/areas/reich/pkatable/pKa_compilation-1-Williams.pdf</t>
  </si>
  <si>
    <t xml:space="preserve">C2H4N2 </t>
  </si>
  <si>
    <t>Member Academy of Sciences of the State of São Paulo</t>
  </si>
  <si>
    <t>CurTiPot was written almost during weekends and holidays, in São Paulo and, sometimes, in Guaeca,</t>
  </si>
  <si>
    <t>http://scholar.google.com/scholar?hl=en-USR&amp;as_sdt=0,5&amp;q=curtipot</t>
  </si>
  <si>
    <t>Mean</t>
  </si>
  <si>
    <t>Median</t>
  </si>
  <si>
    <t>Std. Deviation</t>
  </si>
  <si>
    <t>https://www.solver.com/excel-solver-online-help</t>
  </si>
  <si>
    <t>https://faculty.insead.edu/delquie/msp/Download%20Solutions/Design%20and%20Use%20of%20Solver.pdf</t>
  </si>
  <si>
    <t>RSD, %</t>
  </si>
  <si>
    <t xml:space="preserve">    Spreadsheet for 160 data pairs; it can be expanded or shortened (to gain speed).</t>
  </si>
  <si>
    <t>factors</t>
  </si>
  <si>
    <t>Weighting</t>
  </si>
  <si>
    <r>
      <t>pH</t>
    </r>
    <r>
      <rPr>
        <sz val="10"/>
        <rFont val="Arial"/>
        <family val="2"/>
      </rPr>
      <t>reg</t>
    </r>
    <r>
      <rPr>
        <b/>
        <sz val="10"/>
        <rFont val="Arial"/>
        <family val="2"/>
      </rPr>
      <t>-pH</t>
    </r>
  </si>
  <si>
    <r>
      <t xml:space="preserve">     CH</t>
    </r>
    <r>
      <rPr>
        <b/>
        <sz val="8"/>
        <rFont val="Arial"/>
        <family val="2"/>
      </rPr>
      <t>reg</t>
    </r>
    <r>
      <rPr>
        <b/>
        <sz val="10"/>
        <rFont val="Arial"/>
        <family val="2"/>
      </rPr>
      <t xml:space="preserve"> - CH</t>
    </r>
    <r>
      <rPr>
        <b/>
        <sz val="8"/>
        <rFont val="Arial"/>
        <family val="2"/>
      </rPr>
      <t>calc</t>
    </r>
    <r>
      <rPr>
        <b/>
        <sz val="10"/>
        <rFont val="Arial"/>
        <family val="2"/>
      </rPr>
      <t xml:space="preserve"> residuals</t>
    </r>
  </si>
  <si>
    <r>
      <t xml:space="preserve">     pH</t>
    </r>
    <r>
      <rPr>
        <b/>
        <sz val="8"/>
        <rFont val="Arial"/>
        <family val="2"/>
      </rPr>
      <t>reg</t>
    </r>
    <r>
      <rPr>
        <b/>
        <sz val="10"/>
        <rFont val="Arial"/>
        <family val="2"/>
      </rPr>
      <t xml:space="preserve"> - pH residuals</t>
    </r>
  </si>
  <si>
    <r>
      <t>Sample CH</t>
    </r>
    <r>
      <rPr>
        <sz val="8"/>
        <rFont val="Arial"/>
        <family val="2"/>
      </rPr>
      <t>reg</t>
    </r>
  </si>
  <si>
    <t>To modify the axis of a plot or copy a figure, see instructions in cells  R43, 44 and 45 of Evaluation</t>
  </si>
  <si>
    <t xml:space="preserve">Reject </t>
  </si>
  <si>
    <r>
      <rPr>
        <sz val="10"/>
        <rFont val="Arial"/>
        <family val="2"/>
      </rPr>
      <t>with</t>
    </r>
    <r>
      <rPr>
        <b/>
        <sz val="10"/>
        <rFont val="Arial"/>
        <family val="2"/>
      </rPr>
      <t xml:space="preserve"> X</t>
    </r>
  </si>
  <si>
    <t>Version  4.2.3, March 2016 - Indicator colors are loaded in Titration (function missing in v. 4.2.2).</t>
  </si>
  <si>
    <r>
      <t xml:space="preserve">Version 4.0, January 2014 - </t>
    </r>
    <r>
      <rPr>
        <b/>
        <sz val="12"/>
        <rFont val="Arial"/>
        <family val="2"/>
      </rPr>
      <t>Titration</t>
    </r>
    <r>
      <rPr>
        <sz val="12"/>
        <rFont val="Arial"/>
        <family val="2"/>
      </rPr>
      <t xml:space="preserve"> module for students introduced, embracing visual and instrumental end point detection; activity calculation extended to </t>
    </r>
    <r>
      <rPr>
        <b/>
        <sz val="12"/>
        <rFont val="Arial"/>
        <family val="2"/>
      </rPr>
      <t>Simulation</t>
    </r>
    <r>
      <rPr>
        <sz val="12"/>
        <rFont val="Arial"/>
        <family val="2"/>
      </rPr>
      <t xml:space="preserve"> module.</t>
    </r>
  </si>
  <si>
    <r>
      <t xml:space="preserve">Version  4.3.0, January 2018 - Marker added for (reversible) rejection of outliers in </t>
    </r>
    <r>
      <rPr>
        <b/>
        <sz val="12"/>
        <rFont val="Arial"/>
        <family val="2"/>
      </rPr>
      <t>Regression</t>
    </r>
    <r>
      <rPr>
        <sz val="12"/>
        <rFont val="Arial"/>
        <family val="2"/>
      </rPr>
      <t xml:space="preserve"> module</t>
    </r>
    <r>
      <rPr>
        <b/>
        <sz val="12"/>
        <rFont val="Arial"/>
        <family val="2"/>
      </rPr>
      <t>;</t>
    </r>
    <r>
      <rPr>
        <sz val="12"/>
        <rFont val="Arial"/>
        <family val="2"/>
      </rPr>
      <t xml:space="preserve"> Real data loading added to </t>
    </r>
    <r>
      <rPr>
        <b/>
        <sz val="12"/>
        <rFont val="Arial"/>
        <family val="2"/>
      </rPr>
      <t>Simulation</t>
    </r>
    <r>
      <rPr>
        <sz val="12"/>
        <rFont val="Arial"/>
        <family val="2"/>
      </rPr>
      <t xml:space="preserve"> for interactive curve fitting.</t>
    </r>
  </si>
  <si>
    <t>CurTiPot was used and cited in 150+ papers and thesis</t>
  </si>
  <si>
    <t>People from 100+ countries, including 200+ universities and 100+ companies,</t>
  </si>
  <si>
    <t>downloaded some 170 thousand copies of CurTipot (as tracked by Google Analytics)</t>
  </si>
  <si>
    <t>How to enable the macro-instructions in Excel 2016, 2013, 2010 and 2007</t>
  </si>
  <si>
    <r>
      <t>Options</t>
    </r>
    <r>
      <rPr>
        <sz val="10"/>
        <rFont val="Arial"/>
        <family val="2"/>
      </rPr>
      <t xml:space="preserve"> of the K12 slider</t>
    </r>
  </si>
  <si>
    <t>TBBPA</t>
  </si>
  <si>
    <t>BPA</t>
  </si>
  <si>
    <t>phenol</t>
  </si>
  <si>
    <t xml:space="preserve">&gt;99,9% of neutral species (no pI) below pH </t>
  </si>
</sst>
</file>

<file path=xl/styles.xml><?xml version="1.0" encoding="utf-8"?>
<styleSheet xmlns="http://schemas.openxmlformats.org/spreadsheetml/2006/main">
  <numFmts count="9">
    <numFmt numFmtId="164" formatCode="_(* #,##0.00_);_(* \(#,##0.00\);_(* &quot;-&quot;??_);_(@_)"/>
    <numFmt numFmtId="165" formatCode="0.0000"/>
    <numFmt numFmtId="166" formatCode="0.000"/>
    <numFmt numFmtId="167" formatCode="0.000E+00"/>
    <numFmt numFmtId="168" formatCode="0.000000"/>
    <numFmt numFmtId="169" formatCode="0.0"/>
    <numFmt numFmtId="170" formatCode="0.00000"/>
    <numFmt numFmtId="171" formatCode="0.0000E+00"/>
    <numFmt numFmtId="172" formatCode="0.000000E+00"/>
  </numFmts>
  <fonts count="195">
    <font>
      <sz val="10"/>
      <name val="Arial"/>
    </font>
    <font>
      <sz val="11"/>
      <color indexed="8"/>
      <name val="Calibri"/>
      <family val="2"/>
    </font>
    <font>
      <sz val="10"/>
      <name val="Arial"/>
      <family val="2"/>
    </font>
    <font>
      <b/>
      <sz val="10"/>
      <name val="Arial"/>
      <family val="2"/>
    </font>
    <font>
      <sz val="10"/>
      <name val="Symbol"/>
      <family val="1"/>
      <charset val="2"/>
    </font>
    <font>
      <sz val="10"/>
      <name val="Arial"/>
      <family val="2"/>
    </font>
    <font>
      <sz val="10"/>
      <color indexed="10"/>
      <name val="Arial"/>
      <family val="2"/>
    </font>
    <font>
      <b/>
      <sz val="10"/>
      <color indexed="43"/>
      <name val="Arial"/>
      <family val="2"/>
    </font>
    <font>
      <u/>
      <sz val="10"/>
      <color indexed="12"/>
      <name val="Arial"/>
      <family val="2"/>
    </font>
    <font>
      <b/>
      <sz val="10"/>
      <color indexed="10"/>
      <name val="Arial"/>
      <family val="2"/>
    </font>
    <font>
      <b/>
      <sz val="8"/>
      <color indexed="43"/>
      <name val="Arial"/>
      <family val="2"/>
    </font>
    <font>
      <b/>
      <sz val="12"/>
      <color indexed="23"/>
      <name val="Arial"/>
      <family val="2"/>
    </font>
    <font>
      <sz val="10"/>
      <color indexed="10"/>
      <name val="Arial"/>
      <family val="2"/>
    </font>
    <font>
      <b/>
      <sz val="11"/>
      <name val="Arial"/>
      <family val="2"/>
    </font>
    <font>
      <b/>
      <sz val="14"/>
      <name val="Arial"/>
      <family val="2"/>
    </font>
    <font>
      <vertAlign val="subscript"/>
      <sz val="10"/>
      <name val="Arial"/>
      <family val="2"/>
    </font>
    <font>
      <vertAlign val="subscript"/>
      <sz val="11"/>
      <name val="Arial"/>
      <family val="2"/>
    </font>
    <font>
      <b/>
      <sz val="12"/>
      <name val="Arial"/>
      <family val="2"/>
    </font>
    <font>
      <sz val="11"/>
      <name val="Arial"/>
      <family val="2"/>
    </font>
    <font>
      <sz val="8"/>
      <color indexed="81"/>
      <name val="Tahoma"/>
      <family val="2"/>
    </font>
    <font>
      <b/>
      <sz val="8"/>
      <color indexed="81"/>
      <name val="Tahoma"/>
      <family val="2"/>
    </font>
    <font>
      <vertAlign val="subscript"/>
      <sz val="10"/>
      <color indexed="81"/>
      <name val="Tahoma"/>
      <family val="2"/>
    </font>
    <font>
      <vertAlign val="superscript"/>
      <sz val="10"/>
      <color indexed="81"/>
      <name val="Tahoma"/>
      <family val="2"/>
    </font>
    <font>
      <sz val="10"/>
      <color indexed="81"/>
      <name val="Tahoma"/>
      <family val="2"/>
    </font>
    <font>
      <sz val="12"/>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0"/>
      <color indexed="8"/>
      <name val="Arial"/>
      <family val="2"/>
    </font>
    <font>
      <sz val="14"/>
      <name val="Arial"/>
      <family val="2"/>
    </font>
    <font>
      <sz val="12"/>
      <name val="Arial"/>
      <family val="2"/>
    </font>
    <font>
      <sz val="10"/>
      <color indexed="13"/>
      <name val="Arial Black"/>
      <family val="2"/>
    </font>
    <font>
      <vertAlign val="superscript"/>
      <sz val="12"/>
      <name val="Arial"/>
      <family val="2"/>
    </font>
    <font>
      <sz val="16"/>
      <name val="Arial"/>
      <family val="2"/>
    </font>
    <font>
      <b/>
      <sz val="14"/>
      <color indexed="13"/>
      <name val="Arial"/>
      <family val="2"/>
    </font>
    <font>
      <sz val="10"/>
      <color indexed="13"/>
      <name val="Arial"/>
      <family val="2"/>
    </font>
    <font>
      <b/>
      <sz val="11"/>
      <color indexed="43"/>
      <name val="Arial"/>
      <family val="2"/>
    </font>
    <font>
      <sz val="10"/>
      <color indexed="81"/>
      <name val="Symbol"/>
      <family val="1"/>
      <charset val="2"/>
    </font>
    <font>
      <b/>
      <sz val="10"/>
      <color indexed="81"/>
      <name val="Tahoma"/>
      <family val="2"/>
    </font>
    <font>
      <vertAlign val="superscript"/>
      <sz val="10"/>
      <name val="Arial"/>
      <family val="2"/>
    </font>
    <font>
      <vertAlign val="subscript"/>
      <sz val="13"/>
      <name val="Arial"/>
      <family val="2"/>
    </font>
    <font>
      <b/>
      <sz val="13"/>
      <name val="Arial"/>
      <family val="2"/>
    </font>
    <font>
      <sz val="13"/>
      <name val="Arial"/>
      <family val="2"/>
    </font>
    <font>
      <b/>
      <vertAlign val="subscript"/>
      <sz val="12"/>
      <name val="Arial"/>
      <family val="2"/>
    </font>
    <font>
      <sz val="10"/>
      <color indexed="23"/>
      <name val="Arial"/>
      <family val="2"/>
    </font>
    <font>
      <b/>
      <sz val="10"/>
      <color indexed="23"/>
      <name val="Arial"/>
      <family val="2"/>
    </font>
    <font>
      <b/>
      <sz val="14"/>
      <color indexed="43"/>
      <name val="Arial"/>
      <family val="2"/>
    </font>
    <font>
      <b/>
      <sz val="10"/>
      <color indexed="43"/>
      <name val="Arial"/>
      <family val="2"/>
    </font>
    <font>
      <sz val="10"/>
      <color indexed="23"/>
      <name val="Arial"/>
      <family val="2"/>
    </font>
    <font>
      <sz val="10"/>
      <name val="Frutiger-Roman"/>
    </font>
    <font>
      <sz val="11"/>
      <name val="Arial"/>
      <family val="2"/>
    </font>
    <font>
      <sz val="12"/>
      <name val="Symbol"/>
      <family val="1"/>
      <charset val="2"/>
    </font>
    <font>
      <vertAlign val="subscript"/>
      <sz val="12"/>
      <name val="Arial"/>
      <family val="2"/>
    </font>
    <font>
      <vertAlign val="subscript"/>
      <sz val="13"/>
      <name val="Symbol"/>
      <family val="1"/>
      <charset val="2"/>
    </font>
    <font>
      <sz val="8"/>
      <name val="Arial"/>
      <family val="2"/>
    </font>
    <font>
      <vertAlign val="superscript"/>
      <sz val="10"/>
      <color indexed="8"/>
      <name val="Arial"/>
      <family val="2"/>
    </font>
    <font>
      <sz val="10"/>
      <name val="Courier New"/>
      <family val="3"/>
    </font>
    <font>
      <sz val="11"/>
      <name val="Symbol"/>
      <family val="1"/>
      <charset val="2"/>
    </font>
    <font>
      <sz val="14"/>
      <name val="Symbol"/>
      <family val="1"/>
      <charset val="2"/>
    </font>
    <font>
      <vertAlign val="subscript"/>
      <sz val="12"/>
      <color indexed="81"/>
      <name val="Tahoma"/>
      <family val="2"/>
    </font>
    <font>
      <sz val="12"/>
      <color indexed="81"/>
      <name val="Tahoma"/>
      <family val="2"/>
    </font>
    <font>
      <i/>
      <sz val="10"/>
      <color indexed="81"/>
      <name val="Tahoma"/>
      <family val="2"/>
    </font>
    <font>
      <sz val="14"/>
      <color indexed="81"/>
      <name val="Symbol"/>
      <family val="1"/>
      <charset val="2"/>
    </font>
    <font>
      <vertAlign val="superscript"/>
      <sz val="12"/>
      <color indexed="81"/>
      <name val="Tahoma"/>
      <family val="2"/>
    </font>
    <font>
      <sz val="10"/>
      <color indexed="12"/>
      <name val="Tahoma"/>
      <family val="2"/>
    </font>
    <font>
      <sz val="14"/>
      <color indexed="43"/>
      <name val="Arial"/>
      <family val="2"/>
    </font>
    <font>
      <sz val="11"/>
      <color indexed="13"/>
      <name val="Arial"/>
      <family val="2"/>
    </font>
    <font>
      <sz val="11"/>
      <color indexed="26"/>
      <name val="Arial"/>
      <family val="2"/>
    </font>
    <font>
      <b/>
      <sz val="11"/>
      <color indexed="26"/>
      <name val="Arial"/>
      <family val="2"/>
    </font>
    <font>
      <sz val="10"/>
      <color indexed="43"/>
      <name val="Arial"/>
      <family val="2"/>
    </font>
    <font>
      <b/>
      <sz val="13"/>
      <color indexed="81"/>
      <name val="Tahoma"/>
      <family val="2"/>
    </font>
    <font>
      <sz val="13"/>
      <color indexed="81"/>
      <name val="Tahoma"/>
      <family val="2"/>
    </font>
    <font>
      <sz val="10"/>
      <color indexed="10"/>
      <name val="Arial"/>
      <family val="2"/>
    </font>
    <font>
      <sz val="10"/>
      <color indexed="8"/>
      <name val="Arial"/>
      <family val="2"/>
    </font>
    <font>
      <sz val="10"/>
      <color indexed="23"/>
      <name val="Arial"/>
      <family val="2"/>
    </font>
    <font>
      <sz val="8"/>
      <name val="Arial"/>
      <family val="2"/>
    </font>
    <font>
      <sz val="12"/>
      <name val="Arial"/>
      <family val="2"/>
    </font>
    <font>
      <b/>
      <vertAlign val="subscript"/>
      <sz val="12"/>
      <color indexed="43"/>
      <name val="Arial"/>
      <family val="2"/>
    </font>
    <font>
      <sz val="10"/>
      <color indexed="23"/>
      <name val="Arial"/>
      <family val="2"/>
    </font>
    <font>
      <sz val="11"/>
      <name val="Arial"/>
      <family val="2"/>
    </font>
    <font>
      <b/>
      <sz val="11"/>
      <color indexed="62"/>
      <name val="Arial"/>
      <family val="2"/>
    </font>
    <font>
      <sz val="10"/>
      <color indexed="10"/>
      <name val="Arial"/>
      <family val="2"/>
    </font>
    <font>
      <b/>
      <sz val="10"/>
      <color indexed="10"/>
      <name val="Arial"/>
      <family val="2"/>
    </font>
    <font>
      <b/>
      <sz val="10"/>
      <name val="Arial"/>
      <family val="2"/>
    </font>
    <font>
      <vertAlign val="subscript"/>
      <sz val="8"/>
      <color indexed="81"/>
      <name val="Tahoma"/>
      <family val="2"/>
    </font>
    <font>
      <b/>
      <sz val="10"/>
      <color indexed="23"/>
      <name val="Arial"/>
      <family val="2"/>
    </font>
    <font>
      <sz val="12"/>
      <name val="Arial"/>
      <family val="2"/>
    </font>
    <font>
      <sz val="11"/>
      <color indexed="10"/>
      <name val="Arial"/>
      <family val="2"/>
    </font>
    <font>
      <b/>
      <sz val="11"/>
      <name val="Symbol"/>
      <family val="1"/>
      <charset val="2"/>
    </font>
    <font>
      <b/>
      <sz val="18"/>
      <name val="Bookman Old Style"/>
      <family val="1"/>
    </font>
    <font>
      <u/>
      <sz val="16"/>
      <color indexed="12"/>
      <name val="Arial"/>
      <family val="2"/>
    </font>
    <font>
      <u/>
      <sz val="14"/>
      <color indexed="12"/>
      <name val="Arial"/>
      <family val="2"/>
    </font>
    <font>
      <sz val="14"/>
      <name val="Arial"/>
      <family val="2"/>
    </font>
    <font>
      <b/>
      <sz val="12"/>
      <color indexed="81"/>
      <name val="Tahoma"/>
      <family val="2"/>
    </font>
    <font>
      <sz val="14"/>
      <color indexed="81"/>
      <name val="Tahoma"/>
      <family val="2"/>
    </font>
    <font>
      <i/>
      <vertAlign val="subscript"/>
      <sz val="12"/>
      <name val="Arial"/>
      <family val="2"/>
    </font>
    <font>
      <b/>
      <vertAlign val="superscript"/>
      <sz val="11"/>
      <name val="Arial"/>
      <family val="2"/>
    </font>
    <font>
      <sz val="10"/>
      <color indexed="8"/>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1"/>
      <color indexed="81"/>
      <name val="Tahoma"/>
      <family val="2"/>
    </font>
    <font>
      <b/>
      <u/>
      <sz val="14"/>
      <color indexed="43"/>
      <name val="Arial"/>
      <family val="2"/>
    </font>
    <font>
      <vertAlign val="subscript"/>
      <sz val="14"/>
      <name val="Arial"/>
      <family val="2"/>
    </font>
    <font>
      <vertAlign val="subscript"/>
      <sz val="12"/>
      <color indexed="81"/>
      <name val="Symbol"/>
      <family val="1"/>
      <charset val="2"/>
    </font>
    <font>
      <sz val="12"/>
      <color indexed="81"/>
      <name val="Symbol"/>
      <family val="1"/>
      <charset val="2"/>
    </font>
    <font>
      <sz val="10"/>
      <name val="Bookman Old Style"/>
      <family val="1"/>
    </font>
    <font>
      <b/>
      <sz val="10"/>
      <name val="Bookman Old Style"/>
      <family val="1"/>
    </font>
    <font>
      <sz val="12"/>
      <name val="Bookman Old Style"/>
      <family val="1"/>
    </font>
    <font>
      <sz val="11"/>
      <name val="Bookman Old Style"/>
      <family val="1"/>
    </font>
    <font>
      <sz val="10"/>
      <color indexed="10"/>
      <name val="Arial"/>
      <family val="2"/>
    </font>
    <font>
      <u/>
      <sz val="10"/>
      <color indexed="81"/>
      <name val="Tahoma"/>
      <family val="2"/>
    </font>
    <font>
      <sz val="10"/>
      <name val="Arial"/>
      <family val="2"/>
    </font>
    <font>
      <sz val="10"/>
      <color indexed="81"/>
      <name val="Bookman Old Style"/>
      <family val="1"/>
    </font>
    <font>
      <b/>
      <sz val="12"/>
      <color indexed="81"/>
      <name val="Bookman Old Style"/>
      <family val="1"/>
    </font>
    <font>
      <strike/>
      <sz val="10"/>
      <color indexed="81"/>
      <name val="Tahoma"/>
      <family val="2"/>
    </font>
    <font>
      <vertAlign val="superscript"/>
      <sz val="11"/>
      <name val="Arial"/>
      <family val="2"/>
    </font>
    <font>
      <vertAlign val="subscript"/>
      <sz val="15"/>
      <name val="Arial"/>
      <family val="2"/>
    </font>
    <font>
      <b/>
      <sz val="16"/>
      <name val="Arial"/>
      <family val="2"/>
    </font>
    <font>
      <b/>
      <sz val="18"/>
      <name val="Arial"/>
      <family val="2"/>
    </font>
    <font>
      <b/>
      <vertAlign val="subscript"/>
      <sz val="14"/>
      <name val="Arial"/>
      <family val="2"/>
    </font>
    <font>
      <vertAlign val="subscript"/>
      <sz val="14"/>
      <color indexed="81"/>
      <name val="Tahoma"/>
      <family val="2"/>
    </font>
    <font>
      <i/>
      <sz val="10"/>
      <name val="Arial"/>
      <family val="2"/>
    </font>
    <font>
      <b/>
      <vertAlign val="subscript"/>
      <sz val="12"/>
      <color indexed="81"/>
      <name val="Tahoma"/>
      <family val="2"/>
    </font>
    <font>
      <b/>
      <sz val="9"/>
      <color indexed="81"/>
      <name val="Tahoma"/>
      <family val="2"/>
    </font>
    <font>
      <sz val="9"/>
      <color indexed="81"/>
      <name val="Tahoma"/>
      <family val="2"/>
    </font>
    <font>
      <sz val="10"/>
      <color indexed="32"/>
      <name val="Symbol"/>
      <family val="1"/>
      <charset val="2"/>
    </font>
    <font>
      <b/>
      <sz val="10"/>
      <color indexed="60"/>
      <name val="Arial"/>
      <family val="2"/>
    </font>
    <font>
      <sz val="9"/>
      <name val="Arial"/>
      <family val="2"/>
    </font>
    <font>
      <sz val="4"/>
      <color indexed="60"/>
      <name val="Arial"/>
      <family val="2"/>
    </font>
    <font>
      <vertAlign val="subscript"/>
      <sz val="10"/>
      <color indexed="60"/>
      <name val="Arial"/>
      <family val="2"/>
    </font>
    <font>
      <vertAlign val="subscript"/>
      <sz val="12"/>
      <color indexed="60"/>
      <name val="Arial"/>
      <family val="2"/>
    </font>
    <font>
      <sz val="10"/>
      <color indexed="62"/>
      <name val="Arial"/>
      <family val="2"/>
    </font>
    <font>
      <vertAlign val="subscript"/>
      <sz val="11"/>
      <color indexed="62"/>
      <name val="Arial"/>
      <family val="2"/>
    </font>
    <font>
      <vertAlign val="subscript"/>
      <sz val="12"/>
      <color indexed="62"/>
      <name val="Arial"/>
      <family val="2"/>
    </font>
    <font>
      <b/>
      <sz val="10"/>
      <color indexed="62"/>
      <name val="Arial"/>
      <family val="2"/>
    </font>
    <font>
      <vertAlign val="subscript"/>
      <sz val="10"/>
      <color indexed="62"/>
      <name val="Arial"/>
      <family val="2"/>
    </font>
    <font>
      <b/>
      <vertAlign val="subscript"/>
      <sz val="12"/>
      <color indexed="62"/>
      <name val="Arial"/>
      <family val="2"/>
    </font>
    <font>
      <vertAlign val="subscript"/>
      <sz val="11"/>
      <color indexed="81"/>
      <name val="Tahoma"/>
      <family val="2"/>
    </font>
    <font>
      <sz val="11"/>
      <color indexed="56"/>
      <name val="Arial"/>
      <family val="2"/>
    </font>
    <font>
      <sz val="10"/>
      <color indexed="56"/>
      <name val="Arial"/>
      <family val="2"/>
    </font>
    <font>
      <vertAlign val="superscript"/>
      <sz val="11"/>
      <color indexed="81"/>
      <name val="Tahoma"/>
      <family val="2"/>
    </font>
    <font>
      <sz val="12"/>
      <name val="Book Antiqua"/>
      <family val="1"/>
    </font>
    <font>
      <b/>
      <vertAlign val="subscript"/>
      <sz val="10"/>
      <name val="Arial"/>
      <family val="2"/>
    </font>
    <font>
      <b/>
      <u/>
      <sz val="10"/>
      <color indexed="81"/>
      <name val="Tahoma"/>
      <family val="2"/>
    </font>
    <font>
      <sz val="10"/>
      <color indexed="81"/>
      <name val="Calibri"/>
      <family val="2"/>
    </font>
    <font>
      <b/>
      <sz val="12"/>
      <color indexed="43"/>
      <name val="Symbol"/>
      <family val="1"/>
      <charset val="2"/>
    </font>
    <font>
      <sz val="10"/>
      <name val="Calibri"/>
      <family val="2"/>
    </font>
    <font>
      <b/>
      <u/>
      <sz val="12"/>
      <name val="Arial"/>
      <family val="2"/>
    </font>
    <font>
      <b/>
      <u/>
      <sz val="11"/>
      <name val="Arial"/>
      <family val="2"/>
    </font>
    <font>
      <u/>
      <sz val="12"/>
      <color indexed="81"/>
      <name val="Tahoma"/>
      <family val="2"/>
    </font>
    <font>
      <sz val="12"/>
      <color indexed="81"/>
      <name val="Bookman Old Style"/>
      <family val="1"/>
    </font>
    <font>
      <u/>
      <sz val="11"/>
      <name val="Arial"/>
      <family val="2"/>
    </font>
    <font>
      <b/>
      <sz val="9"/>
      <color indexed="81"/>
      <name val="Segoe UI"/>
      <family val="2"/>
    </font>
    <font>
      <sz val="9"/>
      <color indexed="81"/>
      <name val="Segoe UI"/>
      <family val="2"/>
    </font>
    <font>
      <sz val="10"/>
      <color indexed="81"/>
      <name val="Segoe UI"/>
      <family val="2"/>
    </font>
    <font>
      <b/>
      <sz val="8"/>
      <name val="Arial"/>
      <family val="2"/>
    </font>
    <font>
      <sz val="12"/>
      <color rgb="FFC00000"/>
      <name val="Arial"/>
      <family val="2"/>
    </font>
    <font>
      <b/>
      <sz val="10"/>
      <color rgb="FFFF0000"/>
      <name val="Arial"/>
      <family val="2"/>
    </font>
    <font>
      <sz val="10"/>
      <color rgb="FFE5F5FF"/>
      <name val="Arial"/>
      <family val="2"/>
    </font>
    <font>
      <sz val="10"/>
      <color rgb="FFCCECFF"/>
      <name val="Arial"/>
      <family val="2"/>
    </font>
    <font>
      <sz val="1"/>
      <color theme="0" tint="-0.249977111117893"/>
      <name val="Arial"/>
      <family val="2"/>
    </font>
    <font>
      <b/>
      <sz val="10"/>
      <color theme="9" tint="-0.499984740745262"/>
      <name val="Arial"/>
      <family val="2"/>
    </font>
    <font>
      <sz val="10"/>
      <color theme="9" tint="-0.499984740745262"/>
      <name val="Arial"/>
      <family val="2"/>
    </font>
    <font>
      <sz val="10"/>
      <color theme="9" tint="-0.499984740745262"/>
      <name val="Symbol"/>
      <family val="1"/>
      <charset val="2"/>
    </font>
    <font>
      <sz val="11"/>
      <color theme="9" tint="-0.499984740745262"/>
      <name val="Arial"/>
      <family val="2"/>
    </font>
    <font>
      <sz val="10"/>
      <color theme="2"/>
      <name val="Arial"/>
      <family val="2"/>
    </font>
    <font>
      <sz val="11"/>
      <color theme="3"/>
      <name val="Arial"/>
      <family val="2"/>
    </font>
    <font>
      <sz val="10"/>
      <color theme="3"/>
      <name val="Symbol"/>
      <family val="1"/>
      <charset val="2"/>
    </font>
    <font>
      <sz val="10"/>
      <color theme="3"/>
      <name val="Arial"/>
      <family val="2"/>
    </font>
    <font>
      <b/>
      <sz val="10"/>
      <color theme="3"/>
      <name val="Arial"/>
      <family val="2"/>
    </font>
    <font>
      <b/>
      <sz val="11"/>
      <color theme="3"/>
      <name val="Arial"/>
      <family val="2"/>
    </font>
    <font>
      <b/>
      <sz val="11"/>
      <color theme="9" tint="-0.499984740745262"/>
      <name val="Arial"/>
      <family val="2"/>
    </font>
    <font>
      <b/>
      <sz val="10"/>
      <color theme="3"/>
      <name val="Symbol"/>
      <family val="1"/>
      <charset val="2"/>
    </font>
    <font>
      <b/>
      <sz val="11"/>
      <color rgb="FFFFFFCC"/>
      <name val="Arial"/>
      <family val="2"/>
    </font>
    <font>
      <b/>
      <sz val="1"/>
      <color rgb="FF003399"/>
      <name val="Arial"/>
      <family val="2"/>
    </font>
    <font>
      <sz val="10"/>
      <color theme="0" tint="-0.249977111117893"/>
      <name val="Arial"/>
      <family val="2"/>
    </font>
    <font>
      <sz val="10"/>
      <color theme="0" tint="-0.34998626667073579"/>
      <name val="Arial"/>
      <family val="2"/>
    </font>
    <font>
      <sz val="10"/>
      <color rgb="FFFF0000"/>
      <name val="Arial"/>
      <family val="2"/>
    </font>
    <font>
      <sz val="10"/>
      <color theme="0" tint="-0.499984740745262"/>
      <name val="Arial"/>
      <family val="2"/>
    </font>
    <font>
      <sz val="11"/>
      <color rgb="FFFF0000"/>
      <name val="Arial"/>
      <family val="2"/>
    </font>
    <font>
      <sz val="10"/>
      <name val="Arial"/>
      <family val="2"/>
      <charset val="238"/>
    </font>
    <font>
      <sz val="11"/>
      <color indexed="32"/>
      <name val="Arial"/>
      <family val="2"/>
      <charset val="238"/>
    </font>
    <font>
      <b/>
      <sz val="11"/>
      <color indexed="32"/>
      <name val="Arial"/>
      <family val="2"/>
      <charset val="238"/>
    </font>
    <font>
      <sz val="10"/>
      <color indexed="32"/>
      <name val="Arial"/>
      <family val="2"/>
      <charset val="238"/>
    </font>
    <font>
      <b/>
      <sz val="10"/>
      <color indexed="32"/>
      <name val="Arial"/>
      <family val="2"/>
      <charset val="238"/>
    </font>
    <font>
      <vertAlign val="subscript"/>
      <sz val="12"/>
      <color indexed="32"/>
      <name val="Arial"/>
      <family val="2"/>
      <charset val="238"/>
    </font>
    <font>
      <sz val="9"/>
      <color indexed="32"/>
      <name val="Arial"/>
      <family val="2"/>
      <charset val="238"/>
    </font>
    <font>
      <b/>
      <sz val="9"/>
      <color indexed="32"/>
      <name val="Arial"/>
      <family val="2"/>
      <charset val="238"/>
    </font>
    <font>
      <sz val="8"/>
      <color indexed="8"/>
      <name val="Tahoma"/>
      <family val="2"/>
      <charset val="238"/>
    </font>
    <font>
      <sz val="10"/>
      <color indexed="32"/>
      <name val="Bookman Old Style"/>
      <family val="1"/>
      <charset val="238"/>
    </font>
  </fonts>
  <fills count="42">
    <fill>
      <patternFill patternType="none"/>
    </fill>
    <fill>
      <patternFill patternType="gray125"/>
    </fill>
    <fill>
      <patternFill patternType="solid">
        <fgColor indexed="41"/>
        <bgColor indexed="64"/>
      </patternFill>
    </fill>
    <fill>
      <patternFill patternType="solid">
        <fgColor indexed="47"/>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32"/>
        <bgColor indexed="64"/>
      </patternFill>
    </fill>
    <fill>
      <patternFill patternType="solid">
        <fgColor indexed="27"/>
        <bgColor indexed="27"/>
      </patternFill>
    </fill>
    <fill>
      <patternFill patternType="solid">
        <fgColor indexed="12"/>
        <bgColor indexed="64"/>
      </patternFill>
    </fill>
    <fill>
      <patternFill patternType="solid">
        <fgColor rgb="FFF9FCDE"/>
        <bgColor indexed="64"/>
      </patternFill>
    </fill>
    <fill>
      <gradientFill degree="180">
        <stop position="0">
          <color theme="0"/>
        </stop>
        <stop position="1">
          <color theme="0" tint="-0.1490218817712943"/>
        </stop>
      </gradientFill>
    </fill>
    <fill>
      <gradientFill>
        <stop position="0">
          <color theme="0"/>
        </stop>
        <stop position="1">
          <color theme="0" tint="-0.1490218817712943"/>
        </stop>
      </gradientFill>
    </fill>
    <fill>
      <patternFill patternType="solid">
        <fgColor theme="0"/>
        <bgColor indexed="64"/>
      </patternFill>
    </fill>
    <fill>
      <gradientFill>
        <stop position="0">
          <color theme="0"/>
        </stop>
        <stop position="1">
          <color theme="0" tint="-0.25098422193060094"/>
        </stop>
      </gradientFill>
    </fill>
    <fill>
      <gradientFill degree="180">
        <stop position="0">
          <color theme="0"/>
        </stop>
        <stop position="1">
          <color theme="0" tint="-0.25098422193060094"/>
        </stop>
      </gradientFill>
    </fill>
    <fill>
      <gradientFill degree="180">
        <stop position="0">
          <color theme="0"/>
        </stop>
        <stop position="1">
          <color theme="2" tint="-9.8025452436902985E-2"/>
        </stop>
      </gradientFill>
    </fill>
    <fill>
      <gradientFill type="path" left="0.5" right="0.5" top="0.5" bottom="0.5">
        <stop position="0">
          <color theme="0"/>
        </stop>
        <stop position="1">
          <color theme="2" tint="-0.25098422193060094"/>
        </stop>
      </gradientFill>
    </fill>
    <fill>
      <gradientFill degree="90">
        <stop position="0">
          <color theme="0"/>
        </stop>
        <stop position="0.5">
          <color theme="2" tint="-9.8025452436902985E-2"/>
        </stop>
        <stop position="1">
          <color theme="0"/>
        </stop>
      </gradientFill>
    </fill>
    <fill>
      <gradientFill>
        <stop position="0">
          <color theme="0"/>
        </stop>
        <stop position="1">
          <color theme="2" tint="-9.8025452436902985E-2"/>
        </stop>
      </gradientFill>
    </fill>
    <fill>
      <gradientFill type="path" left="1" right="1">
        <stop position="0">
          <color theme="0"/>
        </stop>
        <stop position="1">
          <color theme="2" tint="-9.8025452436902985E-2"/>
        </stop>
      </gradientFill>
    </fill>
    <fill>
      <gradientFill degree="90">
        <stop position="0">
          <color theme="0"/>
        </stop>
        <stop position="1">
          <color theme="2" tint="-9.8025452436902985E-2"/>
        </stop>
      </gradientFill>
    </fill>
    <fill>
      <gradientFill type="path">
        <stop position="0">
          <color theme="0"/>
        </stop>
        <stop position="1">
          <color theme="2" tint="-9.8025452436902985E-2"/>
        </stop>
      </gradientFill>
    </fill>
    <fill>
      <gradientFill type="path" left="1" right="1" top="1" bottom="1">
        <stop position="0">
          <color theme="0"/>
        </stop>
        <stop position="1">
          <color theme="2" tint="-9.8025452436902985E-2"/>
        </stop>
      </gradientFill>
    </fill>
    <fill>
      <gradientFill degree="270">
        <stop position="0">
          <color theme="0"/>
        </stop>
        <stop position="1">
          <color theme="2" tint="-9.8025452436902985E-2"/>
        </stop>
      </gradientFill>
    </fill>
    <fill>
      <gradientFill type="path" top="1" bottom="1">
        <stop position="0">
          <color theme="0"/>
        </stop>
        <stop position="1">
          <color theme="2" tint="-9.8025452436902985E-2"/>
        </stop>
      </gradientFill>
    </fill>
    <fill>
      <patternFill patternType="solid">
        <fgColor rgb="FFFF3F3F"/>
        <bgColor indexed="64"/>
      </patternFill>
    </fill>
    <fill>
      <patternFill patternType="solid">
        <fgColor rgb="FFFFBD4E"/>
        <bgColor indexed="64"/>
      </patternFill>
    </fill>
    <fill>
      <patternFill patternType="solid">
        <fgColor rgb="FFFFFF00"/>
        <bgColor indexed="64"/>
      </patternFill>
    </fill>
    <fill>
      <patternFill patternType="solid">
        <fgColor rgb="FF35CC00"/>
        <bgColor indexed="64"/>
      </patternFill>
    </fill>
    <fill>
      <patternFill patternType="solid">
        <fgColor rgb="FF3399FF"/>
        <bgColor indexed="64"/>
      </patternFill>
    </fill>
    <fill>
      <patternFill patternType="solid">
        <fgColor rgb="FFFCC2F9"/>
        <bgColor indexed="64"/>
      </patternFill>
    </fill>
    <fill>
      <patternFill patternType="solid">
        <fgColor rgb="FFFA8AF4"/>
        <bgColor indexed="64"/>
      </patternFill>
    </fill>
    <fill>
      <patternFill patternType="solid">
        <fgColor rgb="FFF1F4F5"/>
        <bgColor indexed="64"/>
      </patternFill>
    </fill>
    <fill>
      <patternFill patternType="solid">
        <fgColor rgb="FFFF0000"/>
        <bgColor indexed="64"/>
      </patternFill>
    </fill>
    <fill>
      <patternFill patternType="solid">
        <fgColor theme="1"/>
        <bgColor indexed="64"/>
      </patternFill>
    </fill>
    <fill>
      <patternFill patternType="solid">
        <fgColor rgb="FF008000"/>
        <bgColor indexed="64"/>
      </patternFill>
    </fill>
    <fill>
      <patternFill patternType="solid">
        <fgColor rgb="FF800000"/>
        <bgColor indexed="64"/>
      </patternFill>
    </fill>
    <fill>
      <patternFill patternType="solid">
        <fgColor rgb="FF0000FF"/>
        <bgColor indexed="64"/>
      </patternFill>
    </fill>
    <fill>
      <patternFill patternType="solid">
        <fgColor rgb="FFFF00FF"/>
        <bgColor indexed="64"/>
      </patternFill>
    </fill>
    <fill>
      <patternFill patternType="solid">
        <fgColor rgb="FF008080"/>
        <bgColor indexed="64"/>
      </patternFill>
    </fill>
  </fills>
  <borders count="283">
    <border>
      <left/>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ck">
        <color indexed="62"/>
      </top>
      <bottom/>
      <diagonal/>
    </border>
    <border>
      <left style="thick">
        <color indexed="62"/>
      </left>
      <right/>
      <top/>
      <bottom/>
      <diagonal/>
    </border>
    <border>
      <left style="thick">
        <color indexed="62"/>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ck">
        <color indexed="62"/>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thick">
        <color indexed="62"/>
      </right>
      <top/>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ck">
        <color indexed="62"/>
      </right>
      <top style="hair">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2"/>
      </right>
      <top/>
      <bottom/>
      <diagonal/>
    </border>
    <border>
      <left style="thick">
        <color indexed="62"/>
      </left>
      <right style="hair">
        <color indexed="64"/>
      </right>
      <top style="thin">
        <color indexed="64"/>
      </top>
      <bottom/>
      <diagonal/>
    </border>
    <border>
      <left/>
      <right/>
      <top style="hair">
        <color indexed="64"/>
      </top>
      <bottom/>
      <diagonal/>
    </border>
    <border>
      <left/>
      <right/>
      <top style="hair">
        <color indexed="64"/>
      </top>
      <bottom style="thick">
        <color indexed="62"/>
      </bottom>
      <diagonal/>
    </border>
    <border>
      <left style="hair">
        <color indexed="64"/>
      </left>
      <right style="thick">
        <color indexed="62"/>
      </right>
      <top style="thin">
        <color indexed="64"/>
      </top>
      <bottom/>
      <diagonal/>
    </border>
    <border>
      <left style="thick">
        <color indexed="62"/>
      </left>
      <right/>
      <top style="thick">
        <color indexed="62"/>
      </top>
      <bottom style="thin">
        <color indexed="64"/>
      </bottom>
      <diagonal/>
    </border>
    <border>
      <left/>
      <right/>
      <top style="thin">
        <color indexed="64"/>
      </top>
      <bottom style="thin">
        <color indexed="64"/>
      </bottom>
      <diagonal/>
    </border>
    <border>
      <left style="thick">
        <color indexed="62"/>
      </left>
      <right style="hair">
        <color indexed="64"/>
      </right>
      <top style="hair">
        <color indexed="64"/>
      </top>
      <bottom style="thick">
        <color indexed="62"/>
      </bottom>
      <diagonal/>
    </border>
    <border>
      <left style="hair">
        <color indexed="64"/>
      </left>
      <right style="thick">
        <color indexed="62"/>
      </right>
      <top/>
      <bottom style="thick">
        <color indexed="62"/>
      </bottom>
      <diagonal/>
    </border>
    <border>
      <left style="hair">
        <color indexed="64"/>
      </left>
      <right style="thick">
        <color indexed="62"/>
      </right>
      <top style="hair">
        <color indexed="64"/>
      </top>
      <bottom style="thick">
        <color indexed="62"/>
      </bottom>
      <diagonal/>
    </border>
    <border>
      <left style="thick">
        <color indexed="64"/>
      </left>
      <right/>
      <top/>
      <bottom/>
      <diagonal/>
    </border>
    <border>
      <left/>
      <right/>
      <top style="thick">
        <color indexed="62"/>
      </top>
      <bottom style="thin">
        <color indexed="64"/>
      </bottom>
      <diagonal/>
    </border>
    <border>
      <left/>
      <right/>
      <top style="thick">
        <color indexed="62"/>
      </top>
      <bottom/>
      <diagonal/>
    </border>
    <border>
      <left/>
      <right style="thick">
        <color indexed="62"/>
      </right>
      <top style="thick">
        <color indexed="62"/>
      </top>
      <bottom style="thin">
        <color indexed="64"/>
      </bottom>
      <diagonal/>
    </border>
    <border>
      <left/>
      <right style="thin">
        <color indexed="64"/>
      </right>
      <top/>
      <bottom/>
      <diagonal/>
    </border>
    <border>
      <left/>
      <right style="thin">
        <color indexed="64"/>
      </right>
      <top style="thin">
        <color indexed="64"/>
      </top>
      <bottom style="thick">
        <color indexed="62"/>
      </bottom>
      <diagonal/>
    </border>
    <border>
      <left/>
      <right/>
      <top style="thin">
        <color indexed="64"/>
      </top>
      <bottom/>
      <diagonal/>
    </border>
    <border>
      <left/>
      <right style="thin">
        <color indexed="64"/>
      </right>
      <top/>
      <bottom style="thin">
        <color indexed="64"/>
      </bottom>
      <diagonal/>
    </border>
    <border>
      <left style="hair">
        <color indexed="64"/>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hair">
        <color indexed="64"/>
      </left>
      <right/>
      <top/>
      <bottom/>
      <diagonal/>
    </border>
    <border>
      <left style="thick">
        <color indexed="62"/>
      </left>
      <right style="hair">
        <color indexed="64"/>
      </right>
      <top/>
      <bottom style="thin">
        <color indexed="64"/>
      </bottom>
      <diagonal/>
    </border>
    <border>
      <left/>
      <right style="thick">
        <color indexed="62"/>
      </right>
      <top/>
      <bottom style="thin">
        <color indexed="64"/>
      </bottom>
      <diagonal/>
    </border>
    <border>
      <left style="thick">
        <color indexed="62"/>
      </left>
      <right/>
      <top/>
      <bottom style="thin">
        <color indexed="64"/>
      </bottom>
      <diagonal/>
    </border>
    <border>
      <left style="thick">
        <color indexed="62"/>
      </left>
      <right style="hair">
        <color indexed="64"/>
      </right>
      <top style="thin">
        <color indexed="64"/>
      </top>
      <bottom style="thick">
        <color indexed="62"/>
      </bottom>
      <diagonal/>
    </border>
    <border>
      <left style="thick">
        <color indexed="62"/>
      </left>
      <right/>
      <top style="hair">
        <color indexed="64"/>
      </top>
      <bottom style="thick">
        <color indexed="62"/>
      </bottom>
      <diagonal/>
    </border>
    <border>
      <left/>
      <right style="hair">
        <color indexed="64"/>
      </right>
      <top style="hair">
        <color indexed="64"/>
      </top>
      <bottom style="thick">
        <color indexed="62"/>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2"/>
      </bottom>
      <diagonal/>
    </border>
    <border>
      <left/>
      <right style="thick">
        <color indexed="62"/>
      </right>
      <top/>
      <bottom style="thick">
        <color indexed="62"/>
      </bottom>
      <diagonal/>
    </border>
    <border>
      <left/>
      <right style="thick">
        <color indexed="32"/>
      </right>
      <top/>
      <bottom/>
      <diagonal/>
    </border>
    <border>
      <left style="thick">
        <color indexed="32"/>
      </left>
      <right/>
      <top/>
      <bottom/>
      <diagonal/>
    </border>
    <border>
      <left style="thick">
        <color indexed="32"/>
      </left>
      <right/>
      <top/>
      <bottom style="thick">
        <color indexed="32"/>
      </bottom>
      <diagonal/>
    </border>
    <border>
      <left/>
      <right/>
      <top/>
      <bottom style="thick">
        <color indexed="32"/>
      </bottom>
      <diagonal/>
    </border>
    <border>
      <left/>
      <right style="thick">
        <color indexed="32"/>
      </right>
      <top/>
      <bottom style="thick">
        <color indexed="32"/>
      </bottom>
      <diagonal/>
    </border>
    <border>
      <left style="hair">
        <color indexed="64"/>
      </left>
      <right style="thin">
        <color indexed="62"/>
      </right>
      <top/>
      <bottom style="thick">
        <color indexed="62"/>
      </bottom>
      <diagonal/>
    </border>
    <border>
      <left style="thin">
        <color indexed="62"/>
      </left>
      <right style="hair">
        <color indexed="64"/>
      </right>
      <top style="hair">
        <color indexed="64"/>
      </top>
      <bottom style="thick">
        <color indexed="62"/>
      </bottom>
      <diagonal/>
    </border>
    <border>
      <left style="hair">
        <color indexed="64"/>
      </left>
      <right style="thin">
        <color indexed="62"/>
      </right>
      <top style="hair">
        <color indexed="62"/>
      </top>
      <bottom/>
      <diagonal/>
    </border>
    <border>
      <left style="hair">
        <color indexed="64"/>
      </left>
      <right/>
      <top/>
      <bottom style="hair">
        <color indexed="64"/>
      </bottom>
      <diagonal/>
    </border>
    <border>
      <left style="thick">
        <color indexed="62"/>
      </left>
      <right style="hair">
        <color indexed="64"/>
      </right>
      <top style="hair">
        <color indexed="64"/>
      </top>
      <bottom style="hair">
        <color indexed="64"/>
      </bottom>
      <diagonal/>
    </border>
    <border>
      <left style="thick">
        <color indexed="62"/>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thick">
        <color indexed="62"/>
      </right>
      <top style="thin">
        <color indexed="64"/>
      </top>
      <bottom style="thin">
        <color indexed="64"/>
      </bottom>
      <diagonal/>
    </border>
    <border>
      <left style="thin">
        <color indexed="64"/>
      </left>
      <right/>
      <top style="thin">
        <color indexed="64"/>
      </top>
      <bottom style="thin">
        <color indexed="64"/>
      </bottom>
      <diagonal/>
    </border>
    <border>
      <left/>
      <right style="thick">
        <color indexed="62"/>
      </right>
      <top style="thin">
        <color indexed="64"/>
      </top>
      <bottom style="thin">
        <color indexed="64"/>
      </bottom>
      <diagonal/>
    </border>
    <border>
      <left style="thick">
        <color indexed="62"/>
      </left>
      <right/>
      <top style="thin">
        <color indexed="64"/>
      </top>
      <bottom style="thick">
        <color indexed="62"/>
      </bottom>
      <diagonal/>
    </border>
    <border>
      <left style="hair">
        <color indexed="64"/>
      </left>
      <right/>
      <top style="thin">
        <color indexed="64"/>
      </top>
      <bottom style="hair">
        <color indexed="64"/>
      </bottom>
      <diagonal/>
    </border>
    <border>
      <left/>
      <right style="thick">
        <color indexed="62"/>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thick">
        <color indexed="62"/>
      </right>
      <top style="thin">
        <color indexed="64"/>
      </top>
      <bottom style="hair">
        <color indexed="64"/>
      </bottom>
      <diagonal/>
    </border>
    <border>
      <left style="hair">
        <color indexed="62"/>
      </left>
      <right/>
      <top/>
      <bottom/>
      <diagonal/>
    </border>
    <border>
      <left style="hair">
        <color indexed="62"/>
      </left>
      <right style="thin">
        <color indexed="64"/>
      </right>
      <top/>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top/>
      <bottom style="thick">
        <color indexed="62"/>
      </bottom>
      <diagonal/>
    </border>
    <border>
      <left style="thin">
        <color indexed="64"/>
      </left>
      <right style="thick">
        <color indexed="62"/>
      </right>
      <top/>
      <bottom/>
      <diagonal/>
    </border>
    <border>
      <left/>
      <right style="thin">
        <color indexed="64"/>
      </right>
      <top/>
      <bottom style="thick">
        <color indexed="62"/>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style="thick">
        <color indexed="62"/>
      </left>
      <right style="hair">
        <color indexed="64"/>
      </right>
      <top/>
      <bottom style="hair">
        <color indexed="64"/>
      </bottom>
      <diagonal/>
    </border>
    <border>
      <left style="hair">
        <color indexed="64"/>
      </left>
      <right style="thick">
        <color indexed="62"/>
      </right>
      <top/>
      <bottom style="hair">
        <color indexed="64"/>
      </bottom>
      <diagonal/>
    </border>
    <border>
      <left style="thick">
        <color indexed="62"/>
      </left>
      <right/>
      <top style="thick">
        <color indexed="62"/>
      </top>
      <bottom/>
      <diagonal/>
    </border>
    <border>
      <left/>
      <right style="thick">
        <color indexed="62"/>
      </right>
      <top style="thick">
        <color indexed="62"/>
      </top>
      <bottom/>
      <diagonal/>
    </border>
    <border>
      <left style="thick">
        <color indexed="62"/>
      </left>
      <right/>
      <top style="hair">
        <color indexed="64"/>
      </top>
      <bottom style="hair">
        <color indexed="64"/>
      </bottom>
      <diagonal/>
    </border>
    <border>
      <left style="medium">
        <color indexed="64"/>
      </left>
      <right/>
      <top/>
      <bottom/>
      <diagonal/>
    </border>
    <border>
      <left style="hair">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ck">
        <color indexed="62"/>
      </left>
      <right/>
      <top/>
      <bottom style="hair">
        <color indexed="64"/>
      </bottom>
      <diagonal/>
    </border>
    <border>
      <left/>
      <right style="hair">
        <color indexed="64"/>
      </right>
      <top/>
      <bottom style="hair">
        <color indexed="64"/>
      </bottom>
      <diagonal/>
    </border>
    <border>
      <left style="thin">
        <color indexed="62"/>
      </left>
      <right style="hair">
        <color indexed="64"/>
      </right>
      <top/>
      <bottom style="hair">
        <color indexed="64"/>
      </bottom>
      <diagonal/>
    </border>
    <border>
      <left style="thick">
        <color indexed="62"/>
      </left>
      <right/>
      <top/>
      <bottom style="thin">
        <color indexed="62"/>
      </bottom>
      <diagonal/>
    </border>
    <border>
      <left/>
      <right/>
      <top/>
      <bottom style="thin">
        <color indexed="62"/>
      </bottom>
      <diagonal/>
    </border>
    <border>
      <left/>
      <right style="thin">
        <color indexed="62"/>
      </right>
      <top/>
      <bottom style="thin">
        <color indexed="62"/>
      </bottom>
      <diagonal/>
    </border>
    <border>
      <left style="thin">
        <color indexed="62"/>
      </left>
      <right/>
      <top/>
      <bottom style="thin">
        <color indexed="62"/>
      </bottom>
      <diagonal/>
    </border>
    <border>
      <left style="thick">
        <color indexed="62"/>
      </left>
      <right/>
      <top/>
      <bottom style="thick">
        <color indexed="62"/>
      </bottom>
      <diagonal/>
    </border>
    <border>
      <left style="hair">
        <color indexed="64"/>
      </left>
      <right/>
      <top style="thick">
        <color indexed="62"/>
      </top>
      <bottom/>
      <diagonal/>
    </border>
    <border>
      <left style="thick">
        <color indexed="62"/>
      </left>
      <right/>
      <top style="thick">
        <color indexed="62"/>
      </top>
      <bottom style="hair">
        <color indexed="64"/>
      </bottom>
      <diagonal/>
    </border>
    <border>
      <left/>
      <right style="thick">
        <color indexed="62"/>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ck">
        <color indexed="62"/>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top style="thick">
        <color indexed="62"/>
      </top>
      <bottom style="thin">
        <color indexed="64"/>
      </bottom>
      <diagonal/>
    </border>
    <border>
      <left style="thin">
        <color indexed="64"/>
      </left>
      <right style="thin">
        <color indexed="64"/>
      </right>
      <top style="thick">
        <color indexed="62"/>
      </top>
      <bottom style="thin">
        <color indexed="64"/>
      </bottom>
      <diagonal/>
    </border>
    <border>
      <left style="hair">
        <color indexed="62"/>
      </left>
      <right style="hair">
        <color indexed="64"/>
      </right>
      <top/>
      <bottom style="thick">
        <color indexed="62"/>
      </bottom>
      <diagonal/>
    </border>
    <border>
      <left style="hair">
        <color indexed="62"/>
      </left>
      <right style="hair">
        <color indexed="64"/>
      </right>
      <top style="thick">
        <color indexed="62"/>
      </top>
      <bottom/>
      <diagonal/>
    </border>
    <border>
      <left style="hair">
        <color indexed="64"/>
      </left>
      <right style="thin">
        <color indexed="64"/>
      </right>
      <top/>
      <bottom style="thick">
        <color indexed="62"/>
      </bottom>
      <diagonal/>
    </border>
    <border>
      <left style="thick">
        <color indexed="62"/>
      </left>
      <right style="thin">
        <color indexed="64"/>
      </right>
      <top style="thick">
        <color indexed="62"/>
      </top>
      <bottom style="hair">
        <color indexed="64"/>
      </bottom>
      <diagonal/>
    </border>
    <border>
      <left style="thin">
        <color indexed="64"/>
      </left>
      <right style="thick">
        <color indexed="62"/>
      </right>
      <top style="thick">
        <color indexed="62"/>
      </top>
      <bottom style="hair">
        <color indexed="64"/>
      </bottom>
      <diagonal/>
    </border>
    <border>
      <left style="thick">
        <color indexed="62"/>
      </left>
      <right style="thin">
        <color indexed="64"/>
      </right>
      <top style="hair">
        <color indexed="64"/>
      </top>
      <bottom style="thick">
        <color indexed="62"/>
      </bottom>
      <diagonal/>
    </border>
    <border>
      <left/>
      <right style="thin">
        <color indexed="64"/>
      </right>
      <top style="thick">
        <color indexed="62"/>
      </top>
      <bottom/>
      <diagonal/>
    </border>
    <border>
      <left style="thin">
        <color indexed="64"/>
      </left>
      <right/>
      <top/>
      <bottom style="hair">
        <color indexed="64"/>
      </bottom>
      <diagonal/>
    </border>
    <border>
      <left style="thin">
        <color indexed="64"/>
      </left>
      <right/>
      <top/>
      <bottom style="thick">
        <color indexed="62"/>
      </bottom>
      <diagonal/>
    </border>
    <border>
      <left/>
      <right style="thick">
        <color indexed="62"/>
      </right>
      <top style="thin">
        <color indexed="64"/>
      </top>
      <bottom/>
      <diagonal/>
    </border>
    <border>
      <left style="hair">
        <color indexed="64"/>
      </left>
      <right style="hair">
        <color indexed="64"/>
      </right>
      <top/>
      <bottom style="thick">
        <color indexed="62"/>
      </bottom>
      <diagonal/>
    </border>
    <border>
      <left style="thick">
        <color indexed="62"/>
      </left>
      <right style="hair">
        <color indexed="64"/>
      </right>
      <top/>
      <bottom style="thick">
        <color indexed="62"/>
      </bottom>
      <diagonal/>
    </border>
    <border>
      <left style="hair">
        <color indexed="64"/>
      </left>
      <right style="thick">
        <color indexed="62"/>
      </right>
      <top style="hair">
        <color indexed="64"/>
      </top>
      <bottom style="hair">
        <color indexed="64"/>
      </bottom>
      <diagonal/>
    </border>
    <border>
      <left style="thick">
        <color indexed="62"/>
      </left>
      <right style="hair">
        <color indexed="64"/>
      </right>
      <top style="hair">
        <color indexed="64"/>
      </top>
      <bottom style="thin">
        <color indexed="64"/>
      </bottom>
      <diagonal/>
    </border>
    <border>
      <left style="thick">
        <color indexed="62"/>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ck">
        <color indexed="62"/>
      </right>
      <top style="thin">
        <color indexed="64"/>
      </top>
      <bottom style="hair">
        <color indexed="64"/>
      </bottom>
      <diagonal/>
    </border>
    <border>
      <left style="thick">
        <color indexed="62"/>
      </left>
      <right style="hair">
        <color indexed="64"/>
      </right>
      <top style="hair">
        <color indexed="62"/>
      </top>
      <bottom style="hair">
        <color indexed="62"/>
      </bottom>
      <diagonal/>
    </border>
    <border>
      <left style="hair">
        <color indexed="64"/>
      </left>
      <right/>
      <top style="hair">
        <color indexed="62"/>
      </top>
      <bottom style="hair">
        <color indexed="62"/>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ck">
        <color indexed="62"/>
      </left>
      <right/>
      <top style="thick">
        <color indexed="62"/>
      </top>
      <bottom style="thick">
        <color indexed="62"/>
      </bottom>
      <diagonal/>
    </border>
    <border>
      <left/>
      <right/>
      <top style="thick">
        <color indexed="62"/>
      </top>
      <bottom style="thick">
        <color indexed="62"/>
      </bottom>
      <diagonal/>
    </border>
    <border>
      <left/>
      <right/>
      <top/>
      <bottom style="hair">
        <color indexed="64"/>
      </bottom>
      <diagonal/>
    </border>
    <border>
      <left style="hair">
        <color indexed="64"/>
      </left>
      <right/>
      <top style="hair">
        <color indexed="64"/>
      </top>
      <bottom style="thick">
        <color indexed="62"/>
      </bottom>
      <diagonal/>
    </border>
    <border>
      <left/>
      <right style="thin">
        <color indexed="62"/>
      </right>
      <top/>
      <bottom/>
      <diagonal/>
    </border>
    <border>
      <left/>
      <right style="thin">
        <color indexed="62"/>
      </right>
      <top style="thin">
        <color indexed="62"/>
      </top>
      <bottom/>
      <diagonal/>
    </border>
    <border>
      <left style="thin">
        <color indexed="62"/>
      </left>
      <right/>
      <top style="thin">
        <color indexed="62"/>
      </top>
      <bottom/>
      <diagonal/>
    </border>
    <border>
      <left/>
      <right style="hair">
        <color indexed="64"/>
      </right>
      <top style="thin">
        <color indexed="62"/>
      </top>
      <bottom/>
      <diagonal/>
    </border>
    <border>
      <left/>
      <right/>
      <top style="thin">
        <color indexed="62"/>
      </top>
      <bottom/>
      <diagonal/>
    </border>
    <border>
      <left style="thin">
        <color indexed="64"/>
      </left>
      <right style="hair">
        <color indexed="64"/>
      </right>
      <top style="thin">
        <color indexed="62"/>
      </top>
      <bottom style="thin">
        <color indexed="62"/>
      </bottom>
      <diagonal/>
    </border>
    <border>
      <left style="thin">
        <color indexed="62"/>
      </left>
      <right/>
      <top style="thin">
        <color indexed="64"/>
      </top>
      <bottom style="thin">
        <color indexed="64"/>
      </bottom>
      <diagonal/>
    </border>
    <border>
      <left style="thin">
        <color indexed="62"/>
      </left>
      <right/>
      <top style="hair">
        <color indexed="64"/>
      </top>
      <bottom style="thick">
        <color indexed="62"/>
      </bottom>
      <diagonal/>
    </border>
    <border>
      <left/>
      <right style="thin">
        <color indexed="62"/>
      </right>
      <top style="thin">
        <color indexed="62"/>
      </top>
      <bottom style="thick">
        <color indexed="62"/>
      </bottom>
      <diagonal/>
    </border>
    <border>
      <left style="thin">
        <color indexed="62"/>
      </left>
      <right/>
      <top style="thin">
        <color indexed="62"/>
      </top>
      <bottom style="thin">
        <color indexed="62"/>
      </bottom>
      <diagonal/>
    </border>
    <border>
      <left/>
      <right/>
      <top style="thin">
        <color indexed="62"/>
      </top>
      <bottom style="thin">
        <color indexed="62"/>
      </bottom>
      <diagonal/>
    </border>
    <border>
      <left/>
      <right style="thin">
        <color indexed="62"/>
      </right>
      <top style="thin">
        <color indexed="62"/>
      </top>
      <bottom style="thin">
        <color indexed="62"/>
      </bottom>
      <diagonal/>
    </border>
    <border>
      <left/>
      <right style="hair">
        <color indexed="64"/>
      </right>
      <top style="thin">
        <color indexed="62"/>
      </top>
      <bottom style="thin">
        <color indexed="64"/>
      </bottom>
      <diagonal/>
    </border>
    <border>
      <left style="hair">
        <color indexed="64"/>
      </left>
      <right style="hair">
        <color indexed="64"/>
      </right>
      <top style="thin">
        <color indexed="62"/>
      </top>
      <bottom style="thin">
        <color indexed="64"/>
      </bottom>
      <diagonal/>
    </border>
    <border>
      <left style="hair">
        <color indexed="64"/>
      </left>
      <right style="thin">
        <color indexed="62"/>
      </right>
      <top style="thin">
        <color indexed="62"/>
      </top>
      <bottom style="thin">
        <color indexed="64"/>
      </bottom>
      <diagonal/>
    </border>
    <border>
      <left/>
      <right style="thin">
        <color indexed="62"/>
      </right>
      <top/>
      <bottom style="thick">
        <color indexed="62"/>
      </bottom>
      <diagonal/>
    </border>
    <border>
      <left/>
      <right style="thin">
        <color indexed="62"/>
      </right>
      <top style="thick">
        <color indexed="62"/>
      </top>
      <bottom/>
      <diagonal/>
    </border>
    <border>
      <left/>
      <right style="thin">
        <color indexed="62"/>
      </right>
      <top/>
      <bottom style="thin">
        <color indexed="64"/>
      </bottom>
      <diagonal/>
    </border>
    <border>
      <left/>
      <right style="thin">
        <color indexed="62"/>
      </right>
      <top style="thin">
        <color indexed="64"/>
      </top>
      <bottom/>
      <diagonal/>
    </border>
    <border>
      <left style="thick">
        <color indexed="62"/>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2"/>
      </right>
      <top/>
      <bottom style="thin">
        <color indexed="64"/>
      </bottom>
      <diagonal/>
    </border>
    <border>
      <left/>
      <right style="thick">
        <color indexed="64"/>
      </right>
      <top/>
      <bottom/>
      <diagonal/>
    </border>
    <border>
      <left style="thick">
        <color indexed="62"/>
      </left>
      <right/>
      <top style="medium">
        <color indexed="62"/>
      </top>
      <bottom style="thin">
        <color indexed="64"/>
      </bottom>
      <diagonal/>
    </border>
    <border>
      <left style="thin">
        <color indexed="64"/>
      </left>
      <right/>
      <top style="thick">
        <color indexed="62"/>
      </top>
      <bottom style="thin">
        <color indexed="64"/>
      </bottom>
      <diagonal/>
    </border>
    <border>
      <left/>
      <right/>
      <top style="thin">
        <color indexed="64"/>
      </top>
      <bottom style="thick">
        <color indexed="62"/>
      </bottom>
      <diagonal/>
    </border>
    <border>
      <left style="thin">
        <color indexed="64"/>
      </left>
      <right style="thick">
        <color indexed="62"/>
      </right>
      <top style="thick">
        <color indexed="62"/>
      </top>
      <bottom/>
      <diagonal/>
    </border>
    <border>
      <left style="thin">
        <color indexed="64"/>
      </left>
      <right style="thick">
        <color indexed="62"/>
      </right>
      <top/>
      <bottom style="hair">
        <color indexed="64"/>
      </bottom>
      <diagonal/>
    </border>
    <border>
      <left style="thin">
        <color indexed="64"/>
      </left>
      <right/>
      <top style="thin">
        <color indexed="64"/>
      </top>
      <bottom style="thick">
        <color indexed="62"/>
      </bottom>
      <diagonal/>
    </border>
    <border>
      <left/>
      <right style="hair">
        <color indexed="64"/>
      </right>
      <top/>
      <bottom style="thick">
        <color indexed="62"/>
      </bottom>
      <diagonal/>
    </border>
    <border>
      <left style="hair">
        <color indexed="64"/>
      </left>
      <right style="hair">
        <color indexed="64"/>
      </right>
      <top style="thin">
        <color indexed="64"/>
      </top>
      <bottom style="thick">
        <color indexed="62"/>
      </bottom>
      <diagonal/>
    </border>
    <border>
      <left style="hair">
        <color indexed="64"/>
      </left>
      <right/>
      <top style="thin">
        <color indexed="64"/>
      </top>
      <bottom style="thick">
        <color indexed="62"/>
      </bottom>
      <diagonal/>
    </border>
    <border>
      <left style="thick">
        <color indexed="62"/>
      </left>
      <right style="hair">
        <color indexed="64"/>
      </right>
      <top style="thick">
        <color indexed="62"/>
      </top>
      <bottom style="hair">
        <color indexed="64"/>
      </bottom>
      <diagonal/>
    </border>
    <border>
      <left style="hair">
        <color indexed="64"/>
      </left>
      <right style="thin">
        <color indexed="64"/>
      </right>
      <top style="hair">
        <color indexed="64"/>
      </top>
      <bottom style="thin">
        <color indexed="64"/>
      </bottom>
      <diagonal/>
    </border>
    <border>
      <left/>
      <right style="thick">
        <color indexed="62"/>
      </right>
      <top style="thin">
        <color indexed="64"/>
      </top>
      <bottom style="thick">
        <color indexed="62"/>
      </bottom>
      <diagonal/>
    </border>
    <border>
      <left/>
      <right style="hair">
        <color indexed="64"/>
      </right>
      <top style="thin">
        <color indexed="64"/>
      </top>
      <bottom/>
      <diagonal/>
    </border>
    <border>
      <left style="thin">
        <color indexed="64"/>
      </left>
      <right style="hair">
        <color indexed="64"/>
      </right>
      <top/>
      <bottom style="thick">
        <color indexed="62"/>
      </bottom>
      <diagonal/>
    </border>
    <border>
      <left style="thin">
        <color indexed="64"/>
      </left>
      <right style="thick">
        <color indexed="62"/>
      </right>
      <top style="thin">
        <color indexed="64"/>
      </top>
      <bottom style="thick">
        <color indexed="62"/>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ck">
        <color indexed="62"/>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ck">
        <color indexed="32"/>
      </left>
      <right style="hair">
        <color indexed="64"/>
      </right>
      <top style="thick">
        <color indexed="62"/>
      </top>
      <bottom style="thin">
        <color indexed="64"/>
      </bottom>
      <diagonal/>
    </border>
    <border>
      <left style="thick">
        <color indexed="32"/>
      </left>
      <right style="hair">
        <color indexed="64"/>
      </right>
      <top style="thin">
        <color indexed="64"/>
      </top>
      <bottom style="hair">
        <color indexed="64"/>
      </bottom>
      <diagonal/>
    </border>
    <border>
      <left style="thick">
        <color indexed="32"/>
      </left>
      <right style="hair">
        <color indexed="64"/>
      </right>
      <top style="hair">
        <color indexed="64"/>
      </top>
      <bottom style="hair">
        <color indexed="64"/>
      </bottom>
      <diagonal/>
    </border>
    <border>
      <left style="thick">
        <color indexed="32"/>
      </left>
      <right style="hair">
        <color indexed="64"/>
      </right>
      <top style="hair">
        <color indexed="64"/>
      </top>
      <bottom style="thick">
        <color indexed="62"/>
      </bottom>
      <diagonal/>
    </border>
    <border>
      <left style="thick">
        <color indexed="32"/>
      </left>
      <right style="hair">
        <color indexed="64"/>
      </right>
      <top style="hair">
        <color indexed="64"/>
      </top>
      <bottom/>
      <diagonal/>
    </border>
    <border>
      <left/>
      <right style="hair">
        <color indexed="62"/>
      </right>
      <top/>
      <bottom/>
      <diagonal/>
    </border>
    <border>
      <left/>
      <right style="medium">
        <color indexed="64"/>
      </right>
      <top/>
      <bottom style="medium">
        <color indexed="64"/>
      </bottom>
      <diagonal/>
    </border>
    <border>
      <left style="medium">
        <color indexed="64"/>
      </left>
      <right/>
      <top/>
      <bottom style="medium">
        <color indexed="64"/>
      </bottom>
      <diagonal/>
    </border>
    <border>
      <left style="hair">
        <color indexed="64"/>
      </left>
      <right style="dotted">
        <color indexed="9"/>
      </right>
      <top style="thin">
        <color indexed="64"/>
      </top>
      <bottom style="thin">
        <color indexed="64"/>
      </bottom>
      <diagonal/>
    </border>
    <border>
      <left style="dotted">
        <color indexed="9"/>
      </left>
      <right style="dotted">
        <color indexed="9"/>
      </right>
      <top style="thin">
        <color indexed="64"/>
      </top>
      <bottom style="thin">
        <color indexed="64"/>
      </bottom>
      <diagonal/>
    </border>
    <border>
      <left style="double">
        <color indexed="64"/>
      </left>
      <right/>
      <top style="double">
        <color indexed="64"/>
      </top>
      <bottom/>
      <diagonal/>
    </border>
    <border>
      <left style="medium">
        <color indexed="64"/>
      </left>
      <right style="medium">
        <color indexed="64"/>
      </right>
      <top style="double">
        <color indexed="64"/>
      </top>
      <bottom/>
      <diagonal/>
    </border>
    <border>
      <left style="medium">
        <color indexed="64"/>
      </left>
      <right style="double">
        <color indexed="64"/>
      </right>
      <top style="double">
        <color indexed="64"/>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style="hair">
        <color indexed="64"/>
      </left>
      <right style="hair">
        <color indexed="64"/>
      </right>
      <top style="thick">
        <color indexed="62"/>
      </top>
      <bottom style="thin">
        <color indexed="64"/>
      </bottom>
      <diagonal/>
    </border>
    <border>
      <left style="hair">
        <color indexed="64"/>
      </left>
      <right style="thin">
        <color indexed="64"/>
      </right>
      <top style="thick">
        <color indexed="62"/>
      </top>
      <bottom style="thin">
        <color indexed="64"/>
      </bottom>
      <diagonal/>
    </border>
    <border>
      <left style="hair">
        <color indexed="64"/>
      </left>
      <right style="hair">
        <color indexed="64"/>
      </right>
      <top style="hair">
        <color indexed="64"/>
      </top>
      <bottom style="thick">
        <color indexed="62"/>
      </bottom>
      <diagonal/>
    </border>
    <border>
      <left style="thick">
        <color indexed="62"/>
      </left>
      <right style="hair">
        <color indexed="62"/>
      </right>
      <top/>
      <bottom style="thick">
        <color indexed="62"/>
      </bottom>
      <diagonal/>
    </border>
    <border>
      <left style="dotted">
        <color indexed="9"/>
      </left>
      <right style="hair">
        <color indexed="64"/>
      </right>
      <top style="thin">
        <color indexed="64"/>
      </top>
      <bottom style="thin">
        <color indexed="64"/>
      </bottom>
      <diagonal/>
    </border>
    <border>
      <left style="hair">
        <color indexed="64"/>
      </left>
      <right style="thick">
        <color indexed="62"/>
      </right>
      <top style="thick">
        <color indexed="18"/>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thick">
        <color indexed="62"/>
      </top>
      <bottom style="thick">
        <color indexed="62"/>
      </bottom>
      <diagonal/>
    </border>
    <border>
      <left/>
      <right style="thick">
        <color indexed="62"/>
      </right>
      <top style="thick">
        <color indexed="62"/>
      </top>
      <bottom style="thick">
        <color indexed="62"/>
      </bottom>
      <diagonal/>
    </border>
    <border>
      <left style="thick">
        <color indexed="62"/>
      </left>
      <right style="hair">
        <color indexed="64"/>
      </right>
      <top style="thick">
        <color indexed="62"/>
      </top>
      <bottom style="thick">
        <color indexed="62"/>
      </bottom>
      <diagonal/>
    </border>
    <border>
      <left style="hair">
        <color indexed="64"/>
      </left>
      <right style="hair">
        <color indexed="64"/>
      </right>
      <top style="hair">
        <color indexed="62"/>
      </top>
      <bottom style="hair">
        <color indexed="64"/>
      </bottom>
      <diagonal/>
    </border>
    <border>
      <left style="hair">
        <color indexed="64"/>
      </left>
      <right style="thick">
        <color indexed="62"/>
      </right>
      <top style="hair">
        <color indexed="62"/>
      </top>
      <bottom style="hair">
        <color indexed="64"/>
      </bottom>
      <diagonal/>
    </border>
    <border>
      <left style="thin">
        <color indexed="64"/>
      </left>
      <right style="hair">
        <color indexed="64"/>
      </right>
      <top style="hair">
        <color indexed="64"/>
      </top>
      <bottom style="thick">
        <color indexed="62"/>
      </bottom>
      <diagonal/>
    </border>
    <border>
      <left style="thin">
        <color indexed="8"/>
      </left>
      <right/>
      <top/>
      <bottom/>
      <diagonal/>
    </border>
    <border>
      <left style="thin">
        <color indexed="8"/>
      </left>
      <right/>
      <top/>
      <bottom style="thin">
        <color indexed="64"/>
      </bottom>
      <diagonal/>
    </border>
    <border>
      <left style="hair">
        <color indexed="64"/>
      </left>
      <right style="thick">
        <color indexed="62"/>
      </right>
      <top/>
      <bottom style="hair">
        <color indexed="62"/>
      </bottom>
      <diagonal/>
    </border>
    <border>
      <left style="thin">
        <color indexed="64"/>
      </left>
      <right style="thin">
        <color indexed="64"/>
      </right>
      <top style="thin">
        <color indexed="64"/>
      </top>
      <bottom/>
      <diagonal/>
    </border>
    <border>
      <left style="hair">
        <color indexed="64"/>
      </left>
      <right style="thin">
        <color indexed="64"/>
      </right>
      <top/>
      <bottom/>
      <diagonal/>
    </border>
    <border>
      <left style="thick">
        <color indexed="62"/>
      </left>
      <right/>
      <top style="thin">
        <color indexed="64"/>
      </top>
      <bottom style="hair">
        <color indexed="64"/>
      </bottom>
      <diagonal/>
    </border>
    <border>
      <left style="thin">
        <color indexed="64"/>
      </left>
      <right style="thick">
        <color indexed="62"/>
      </right>
      <top style="thin">
        <color indexed="64"/>
      </top>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thick">
        <color indexed="62"/>
      </right>
      <top/>
      <bottom style="thin">
        <color indexed="64"/>
      </bottom>
      <diagonal/>
    </border>
    <border>
      <left/>
      <right style="hair">
        <color indexed="64"/>
      </right>
      <top style="thin">
        <color indexed="64"/>
      </top>
      <bottom style="thick">
        <color indexed="62"/>
      </bottom>
      <diagonal/>
    </border>
    <border>
      <left style="hair">
        <color indexed="62"/>
      </left>
      <right style="hair">
        <color indexed="64"/>
      </right>
      <top/>
      <bottom style="hair">
        <color indexed="64"/>
      </bottom>
      <diagonal/>
    </border>
    <border>
      <left style="hair">
        <color indexed="64"/>
      </left>
      <right style="thin">
        <color indexed="64"/>
      </right>
      <top style="thin">
        <color indexed="62"/>
      </top>
      <bottom style="hair">
        <color indexed="64"/>
      </bottom>
      <diagonal/>
    </border>
    <border>
      <left style="thin">
        <color indexed="64"/>
      </left>
      <right style="thin">
        <color indexed="64"/>
      </right>
      <top style="thin">
        <color indexed="62"/>
      </top>
      <bottom style="hair">
        <color indexed="64"/>
      </bottom>
      <diagonal/>
    </border>
    <border>
      <left style="thin">
        <color indexed="64"/>
      </left>
      <right style="thin">
        <color indexed="64"/>
      </right>
      <top style="hair">
        <color indexed="64"/>
      </top>
      <bottom style="thin">
        <color indexed="64"/>
      </bottom>
      <diagonal/>
    </border>
    <border>
      <left style="thick">
        <color indexed="64"/>
      </left>
      <right/>
      <top style="thick">
        <color indexed="62"/>
      </top>
      <bottom/>
      <diagonal/>
    </border>
    <border>
      <left style="thin">
        <color indexed="64"/>
      </left>
      <right style="thin">
        <color indexed="64"/>
      </right>
      <top style="thin">
        <color indexed="64"/>
      </top>
      <bottom style="thick">
        <color indexed="62"/>
      </bottom>
      <diagonal/>
    </border>
    <border>
      <left style="hair">
        <color indexed="64"/>
      </left>
      <right style="thin">
        <color indexed="64"/>
      </right>
      <top style="thin">
        <color indexed="64"/>
      </top>
      <bottom style="thick">
        <color indexed="62"/>
      </bottom>
      <diagonal/>
    </border>
    <border>
      <left style="hair">
        <color indexed="64"/>
      </left>
      <right style="thick">
        <color indexed="62"/>
      </right>
      <top style="thin">
        <color indexed="64"/>
      </top>
      <bottom style="thick">
        <color indexed="62"/>
      </bottom>
      <diagonal/>
    </border>
    <border>
      <left/>
      <right style="thin">
        <color indexed="64"/>
      </right>
      <top style="hair">
        <color indexed="64"/>
      </top>
      <bottom style="thick">
        <color indexed="62"/>
      </bottom>
      <diagonal/>
    </border>
    <border>
      <left style="thin">
        <color indexed="64"/>
      </left>
      <right style="hair">
        <color indexed="64"/>
      </right>
      <top style="thin">
        <color indexed="64"/>
      </top>
      <bottom style="thick">
        <color indexed="62"/>
      </bottom>
      <diagonal/>
    </border>
    <border>
      <left/>
      <right style="thick">
        <color indexed="62"/>
      </right>
      <top style="thin">
        <color indexed="64"/>
      </top>
      <bottom style="hair">
        <color indexed="64"/>
      </bottom>
      <diagonal/>
    </border>
    <border>
      <left style="thin">
        <color theme="1"/>
      </left>
      <right/>
      <top style="thin">
        <color indexed="64"/>
      </top>
      <bottom style="thin">
        <color indexed="64"/>
      </bottom>
      <diagonal/>
    </border>
    <border>
      <left style="thin">
        <color theme="1"/>
      </left>
      <right/>
      <top style="thin">
        <color theme="1"/>
      </top>
      <bottom/>
      <diagonal/>
    </border>
    <border>
      <left/>
      <right/>
      <top style="thin">
        <color theme="1"/>
      </top>
      <bottom/>
      <diagonal/>
    </border>
    <border>
      <left style="thin">
        <color indexed="64"/>
      </left>
      <right style="thin">
        <color indexed="62"/>
      </right>
      <top style="thin">
        <color theme="1"/>
      </top>
      <bottom/>
      <diagonal/>
    </border>
    <border>
      <left style="thick">
        <color rgb="FF25418F"/>
      </left>
      <right/>
      <top style="thick">
        <color rgb="FF25418F"/>
      </top>
      <bottom style="thin">
        <color indexed="64"/>
      </bottom>
      <diagonal/>
    </border>
    <border>
      <left/>
      <right style="thick">
        <color rgb="FF25418F"/>
      </right>
      <top style="thick">
        <color rgb="FF25418F"/>
      </top>
      <bottom style="thin">
        <color indexed="64"/>
      </bottom>
      <diagonal/>
    </border>
    <border>
      <left style="thick">
        <color indexed="64"/>
      </left>
      <right/>
      <top style="thin">
        <color theme="0" tint="-0.34998626667073579"/>
      </top>
      <bottom/>
      <diagonal/>
    </border>
    <border>
      <left/>
      <right style="thick">
        <color indexed="64"/>
      </right>
      <top style="thin">
        <color theme="0" tint="-0.34998626667073579"/>
      </top>
      <bottom/>
      <diagonal/>
    </border>
    <border>
      <left style="thick">
        <color rgb="FF25418F"/>
      </left>
      <right style="hair">
        <color indexed="64"/>
      </right>
      <top style="thin">
        <color indexed="64"/>
      </top>
      <bottom/>
      <diagonal/>
    </border>
    <border>
      <left/>
      <right style="thick">
        <color rgb="FF25418F"/>
      </right>
      <top/>
      <bottom/>
      <diagonal/>
    </border>
    <border>
      <left style="thick">
        <color rgb="FF25418F"/>
      </left>
      <right style="hair">
        <color rgb="FF25418F"/>
      </right>
      <top style="thin">
        <color indexed="64"/>
      </top>
      <bottom style="thin">
        <color indexed="64"/>
      </bottom>
      <diagonal/>
    </border>
    <border>
      <left style="thick">
        <color rgb="FF25418F"/>
      </left>
      <right/>
      <top style="thin">
        <color indexed="64"/>
      </top>
      <bottom style="thin">
        <color rgb="FF25418F"/>
      </bottom>
      <diagonal/>
    </border>
    <border>
      <left style="thick">
        <color rgb="FF25418F"/>
      </left>
      <right/>
      <top style="thin">
        <color rgb="FF25418F"/>
      </top>
      <bottom style="thin">
        <color rgb="FF25418F"/>
      </bottom>
      <diagonal/>
    </border>
    <border>
      <left style="thick">
        <color rgb="FF25418F"/>
      </left>
      <right/>
      <top style="thin">
        <color rgb="FF25418F"/>
      </top>
      <bottom/>
      <diagonal/>
    </border>
    <border>
      <left/>
      <right style="thick">
        <color theme="9" tint="-0.499984740745262"/>
      </right>
      <top style="thick">
        <color indexed="64"/>
      </top>
      <bottom/>
      <diagonal/>
    </border>
    <border>
      <left style="hair">
        <color theme="1"/>
      </left>
      <right/>
      <top style="thick">
        <color indexed="62"/>
      </top>
      <bottom style="thin">
        <color indexed="64"/>
      </bottom>
      <diagonal/>
    </border>
    <border>
      <left/>
      <right style="thick">
        <color rgb="FF25418F"/>
      </right>
      <top style="thin">
        <color indexed="64"/>
      </top>
      <bottom style="thin">
        <color indexed="64"/>
      </bottom>
      <diagonal/>
    </border>
    <border>
      <left style="hair">
        <color rgb="FF25418F"/>
      </left>
      <right style="thick">
        <color rgb="FF25418F"/>
      </right>
      <top style="thin">
        <color rgb="FF25418F"/>
      </top>
      <bottom style="thin">
        <color rgb="FF25418F"/>
      </bottom>
      <diagonal/>
    </border>
    <border>
      <left/>
      <right style="thick">
        <color rgb="FF25418F"/>
      </right>
      <top style="medium">
        <color indexed="62"/>
      </top>
      <bottom style="thin">
        <color indexed="64"/>
      </bottom>
      <diagonal/>
    </border>
    <border>
      <left style="hair">
        <color indexed="64"/>
      </left>
      <right style="thick">
        <color rgb="FF25418F"/>
      </right>
      <top style="thin">
        <color indexed="64"/>
      </top>
      <bottom style="hair">
        <color indexed="64"/>
      </bottom>
      <diagonal/>
    </border>
    <border>
      <left/>
      <right style="thick">
        <color rgb="FF25418F"/>
      </right>
      <top/>
      <bottom style="thick">
        <color indexed="62"/>
      </bottom>
      <diagonal/>
    </border>
    <border>
      <left/>
      <right style="medium">
        <color indexed="64"/>
      </right>
      <top style="thin">
        <color theme="0" tint="-0.34998626667073579"/>
      </top>
      <bottom/>
      <diagonal/>
    </border>
    <border>
      <left style="medium">
        <color indexed="64"/>
      </left>
      <right/>
      <top style="thin">
        <color theme="0" tint="-0.34998626667073579"/>
      </top>
      <bottom/>
      <diagonal/>
    </border>
    <border>
      <left/>
      <right style="thick">
        <color theme="9" tint="-0.499984740745262"/>
      </right>
      <top/>
      <bottom style="thick">
        <color theme="9" tint="-0.499984740745262"/>
      </bottom>
      <diagonal/>
    </border>
    <border>
      <left style="thick">
        <color theme="9" tint="-0.499984740745262"/>
      </left>
      <right/>
      <top/>
      <bottom style="thick">
        <color theme="9" tint="-0.499984740745262"/>
      </bottom>
      <diagonal/>
    </border>
    <border>
      <left style="hair">
        <color rgb="FF25418F"/>
      </left>
      <right style="thick">
        <color rgb="FF25418F"/>
      </right>
      <top style="thin">
        <color indexed="64"/>
      </top>
      <bottom style="thin">
        <color rgb="FF25418F"/>
      </bottom>
      <diagonal/>
    </border>
    <border>
      <left style="hair">
        <color rgb="FF25418F"/>
      </left>
      <right style="thick">
        <color rgb="FF25418F"/>
      </right>
      <top style="thin">
        <color rgb="FF25418F"/>
      </top>
      <bottom/>
      <diagonal/>
    </border>
    <border>
      <left style="thick">
        <color theme="9" tint="-0.499984740745262"/>
      </left>
      <right/>
      <top style="thick">
        <color indexed="64"/>
      </top>
      <bottom/>
      <diagonal/>
    </border>
    <border>
      <left/>
      <right style="thick">
        <color indexed="43"/>
      </right>
      <top/>
      <bottom style="thin">
        <color rgb="FFFFFFCC"/>
      </bottom>
      <diagonal/>
    </border>
    <border>
      <left/>
      <right style="thick">
        <color theme="3"/>
      </right>
      <top/>
      <bottom style="thin">
        <color rgb="FFFFFFCC"/>
      </bottom>
      <diagonal/>
    </border>
    <border>
      <left style="hair">
        <color indexed="64"/>
      </left>
      <right/>
      <top style="thin">
        <color rgb="FFFFFFCC"/>
      </top>
      <bottom/>
      <diagonal/>
    </border>
    <border>
      <left/>
      <right/>
      <top style="thin">
        <color rgb="FFFFFFCC"/>
      </top>
      <bottom/>
      <diagonal/>
    </border>
    <border>
      <left/>
      <right style="thick">
        <color theme="3"/>
      </right>
      <top style="thin">
        <color rgb="FFFFFFCC"/>
      </top>
      <bottom/>
      <diagonal/>
    </border>
    <border>
      <left style="hair">
        <color indexed="62"/>
      </left>
      <right/>
      <top/>
      <bottom style="thin">
        <color rgb="FFFFFFCC"/>
      </bottom>
      <diagonal/>
    </border>
    <border>
      <left style="hair">
        <color indexed="62"/>
      </left>
      <right/>
      <top style="thin">
        <color rgb="FFFFFFCC"/>
      </top>
      <bottom/>
      <diagonal/>
    </border>
    <border>
      <left style="hair">
        <color indexed="64"/>
      </left>
      <right/>
      <top style="thick">
        <color indexed="62"/>
      </top>
      <bottom style="thick">
        <color theme="3"/>
      </bottom>
      <diagonal/>
    </border>
    <border>
      <left/>
      <right/>
      <top style="thick">
        <color indexed="62"/>
      </top>
      <bottom style="thick">
        <color theme="3"/>
      </bottom>
      <diagonal/>
    </border>
    <border>
      <left/>
      <right style="thick">
        <color indexed="62"/>
      </right>
      <top style="thick">
        <color indexed="62"/>
      </top>
      <bottom style="thick">
        <color theme="3"/>
      </bottom>
      <diagonal/>
    </border>
    <border>
      <left style="thick">
        <color theme="3"/>
      </left>
      <right/>
      <top style="thick">
        <color indexed="62"/>
      </top>
      <bottom style="thick">
        <color theme="3"/>
      </bottom>
      <diagonal/>
    </border>
    <border>
      <left style="hair">
        <color indexed="64"/>
      </left>
      <right style="thick">
        <color theme="3"/>
      </right>
      <top/>
      <bottom/>
      <diagonal/>
    </border>
    <border>
      <left style="hair">
        <color indexed="64"/>
      </left>
      <right style="thick">
        <color theme="3"/>
      </right>
      <top/>
      <bottom style="thin">
        <color indexed="64"/>
      </bottom>
      <diagonal/>
    </border>
    <border>
      <left style="hair">
        <color indexed="64"/>
      </left>
      <right/>
      <top/>
      <bottom style="medium">
        <color rgb="FF00B050"/>
      </bottom>
      <diagonal/>
    </border>
    <border>
      <left/>
      <right/>
      <top/>
      <bottom style="medium">
        <color rgb="FF00B050"/>
      </bottom>
      <diagonal/>
    </border>
    <border>
      <left/>
      <right/>
      <top style="thin">
        <color indexed="64"/>
      </top>
      <bottom style="medium">
        <color rgb="FF00B050"/>
      </bottom>
      <diagonal/>
    </border>
    <border>
      <left/>
      <right style="thin">
        <color indexed="64"/>
      </right>
      <top/>
      <bottom style="medium">
        <color rgb="FF00B050"/>
      </bottom>
      <diagonal/>
    </border>
  </borders>
  <cellStyleXfs count="3">
    <xf numFmtId="0" fontId="0" fillId="0" borderId="0"/>
    <xf numFmtId="0" fontId="8" fillId="0" borderId="0" applyNumberFormat="0" applyFill="0" applyBorder="0" applyAlignment="0" applyProtection="0">
      <alignment vertical="top"/>
      <protection locked="0"/>
    </xf>
    <xf numFmtId="164" fontId="2" fillId="0" borderId="0" applyFont="0" applyFill="0" applyBorder="0" applyAlignment="0" applyProtection="0"/>
  </cellStyleXfs>
  <cellXfs count="1327">
    <xf numFmtId="0" fontId="0" fillId="0" borderId="0" xfId="0"/>
    <xf numFmtId="0" fontId="0" fillId="0" borderId="0" xfId="0" applyAlignment="1">
      <alignment horizontal="center"/>
    </xf>
    <xf numFmtId="0" fontId="0" fillId="2" borderId="0" xfId="0" applyFill="1" applyAlignment="1">
      <alignment horizontal="center"/>
    </xf>
    <xf numFmtId="165" fontId="0" fillId="0" borderId="0" xfId="0" applyNumberFormat="1" applyAlignment="1">
      <alignment horizontal="center"/>
    </xf>
    <xf numFmtId="0" fontId="3" fillId="0" borderId="0" xfId="0" applyFont="1" applyAlignment="1">
      <alignment horizontal="center"/>
    </xf>
    <xf numFmtId="166" fontId="0" fillId="0" borderId="0" xfId="0" applyNumberFormat="1"/>
    <xf numFmtId="166" fontId="0" fillId="0" borderId="0" xfId="0" applyNumberFormat="1" applyFill="1"/>
    <xf numFmtId="0" fontId="0" fillId="3" borderId="1" xfId="0" applyFill="1" applyBorder="1" applyAlignment="1">
      <alignment horizontal="center"/>
    </xf>
    <xf numFmtId="0" fontId="0" fillId="0" borderId="0" xfId="0" applyFill="1"/>
    <xf numFmtId="11" fontId="0" fillId="2" borderId="0" xfId="0" applyNumberFormat="1" applyFill="1"/>
    <xf numFmtId="0" fontId="0" fillId="0" borderId="0" xfId="0" applyNumberFormat="1"/>
    <xf numFmtId="0" fontId="0" fillId="4" borderId="0" xfId="0" applyFill="1"/>
    <xf numFmtId="0" fontId="31" fillId="0" borderId="0" xfId="0" applyFont="1"/>
    <xf numFmtId="0" fontId="32" fillId="0" borderId="0" xfId="0" applyFont="1"/>
    <xf numFmtId="0" fontId="33" fillId="0" borderId="0" xfId="0" applyFont="1" applyFill="1"/>
    <xf numFmtId="0" fontId="0" fillId="0" borderId="0" xfId="0" applyAlignment="1">
      <alignment vertical="center"/>
    </xf>
    <xf numFmtId="0" fontId="0" fillId="5" borderId="0" xfId="0" applyFill="1" applyAlignment="1">
      <alignment horizontal="center"/>
    </xf>
    <xf numFmtId="0" fontId="0" fillId="5" borderId="0" xfId="0" applyFill="1"/>
    <xf numFmtId="0" fontId="0" fillId="5" borderId="0" xfId="0" applyFill="1" applyBorder="1"/>
    <xf numFmtId="166" fontId="0" fillId="5" borderId="0" xfId="0" applyNumberFormat="1" applyFill="1" applyAlignment="1">
      <alignment horizontal="center"/>
    </xf>
    <xf numFmtId="0" fontId="0" fillId="3" borderId="2" xfId="0" applyFill="1" applyBorder="1" applyAlignment="1">
      <alignment horizontal="center"/>
    </xf>
    <xf numFmtId="0" fontId="24" fillId="0" borderId="0" xfId="0" applyFont="1" applyFill="1"/>
    <xf numFmtId="11" fontId="0" fillId="5" borderId="0" xfId="0" applyNumberFormat="1" applyFill="1" applyBorder="1" applyAlignment="1" applyProtection="1">
      <alignment vertical="center"/>
      <protection hidden="1"/>
    </xf>
    <xf numFmtId="0" fontId="2" fillId="5" borderId="0" xfId="0" applyNumberFormat="1" applyFont="1" applyFill="1" applyBorder="1" applyAlignment="1">
      <alignment horizontal="center" vertical="center"/>
    </xf>
    <xf numFmtId="0" fontId="2" fillId="0" borderId="0" xfId="0" applyFont="1"/>
    <xf numFmtId="0" fontId="3" fillId="6" borderId="3" xfId="0" applyFont="1" applyFill="1" applyBorder="1" applyAlignment="1" applyProtection="1">
      <alignment horizontal="left" vertical="center"/>
      <protection hidden="1"/>
    </xf>
    <xf numFmtId="0" fontId="0" fillId="2" borderId="0" xfId="0" applyFill="1"/>
    <xf numFmtId="0" fontId="13" fillId="6" borderId="4" xfId="0" applyFont="1" applyFill="1" applyBorder="1" applyAlignment="1">
      <alignment vertical="center"/>
    </xf>
    <xf numFmtId="0" fontId="13" fillId="6" borderId="0" xfId="0" applyFont="1" applyFill="1" applyBorder="1" applyAlignment="1">
      <alignment vertical="center"/>
    </xf>
    <xf numFmtId="0" fontId="0" fillId="2" borderId="0" xfId="0" applyFill="1" applyAlignment="1">
      <alignment vertical="center"/>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0" fillId="3" borderId="7" xfId="0" applyFill="1" applyBorder="1" applyAlignment="1">
      <alignment horizontal="centerContinuous" vertical="center"/>
    </xf>
    <xf numFmtId="49" fontId="53" fillId="3" borderId="8" xfId="0" applyNumberFormat="1" applyFont="1" applyFill="1" applyBorder="1" applyAlignment="1">
      <alignment horizontal="center"/>
    </xf>
    <xf numFmtId="11" fontId="0" fillId="5" borderId="9" xfId="0" applyNumberFormat="1" applyFill="1" applyBorder="1" applyAlignment="1" applyProtection="1">
      <alignment vertical="center"/>
      <protection hidden="1"/>
    </xf>
    <xf numFmtId="49" fontId="53" fillId="3" borderId="10" xfId="0" applyNumberFormat="1" applyFont="1" applyFill="1" applyBorder="1" applyAlignment="1">
      <alignment horizontal="center"/>
    </xf>
    <xf numFmtId="49" fontId="53" fillId="3" borderId="11" xfId="0" applyNumberFormat="1" applyFont="1" applyFill="1" applyBorder="1" applyAlignment="1">
      <alignment horizontal="center"/>
    </xf>
    <xf numFmtId="11" fontId="0" fillId="5" borderId="2" xfId="0" applyNumberFormat="1" applyFill="1" applyBorder="1" applyAlignment="1" applyProtection="1">
      <alignment vertical="center"/>
      <protection hidden="1"/>
    </xf>
    <xf numFmtId="167" fontId="2" fillId="5" borderId="12" xfId="0" applyNumberFormat="1" applyFont="1" applyFill="1" applyBorder="1" applyAlignment="1">
      <alignment horizontal="center" vertical="center"/>
    </xf>
    <xf numFmtId="49" fontId="0" fillId="0" borderId="13" xfId="0" applyNumberFormat="1" applyFill="1" applyBorder="1" applyAlignment="1">
      <alignment horizontal="center" vertical="top" wrapText="1"/>
    </xf>
    <xf numFmtId="49" fontId="0" fillId="0" borderId="14" xfId="0" applyNumberFormat="1" applyFill="1" applyBorder="1" applyAlignment="1">
      <alignment horizontal="center" vertical="top" wrapText="1"/>
    </xf>
    <xf numFmtId="167" fontId="2" fillId="5" borderId="15" xfId="0" applyNumberFormat="1" applyFont="1" applyFill="1" applyBorder="1" applyAlignment="1">
      <alignment horizontal="center" vertical="center"/>
    </xf>
    <xf numFmtId="0" fontId="9" fillId="6" borderId="16" xfId="0" applyFont="1" applyFill="1" applyBorder="1" applyAlignment="1">
      <alignment horizontal="center" vertical="center"/>
    </xf>
    <xf numFmtId="1" fontId="9" fillId="0" borderId="17" xfId="0"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0" fontId="0" fillId="3" borderId="16" xfId="0" applyFill="1" applyBorder="1" applyAlignment="1">
      <alignment horizontal="center" vertical="center"/>
    </xf>
    <xf numFmtId="166" fontId="0" fillId="2" borderId="19" xfId="0" applyNumberFormat="1" applyFill="1" applyBorder="1" applyAlignment="1">
      <alignment horizontal="center" vertical="center"/>
    </xf>
    <xf numFmtId="0" fontId="3" fillId="6" borderId="5" xfId="0" applyFont="1" applyFill="1" applyBorder="1" applyAlignment="1">
      <alignment horizontal="center" vertical="center"/>
    </xf>
    <xf numFmtId="0" fontId="3" fillId="6" borderId="20" xfId="0" applyFont="1" applyFill="1" applyBorder="1" applyAlignment="1">
      <alignment horizontal="left" vertical="center"/>
    </xf>
    <xf numFmtId="0" fontId="50" fillId="6" borderId="21" xfId="0" applyFont="1" applyFill="1" applyBorder="1" applyAlignment="1">
      <alignment horizontal="center" vertical="center"/>
    </xf>
    <xf numFmtId="0" fontId="50" fillId="2" borderId="0" xfId="0" applyFont="1" applyFill="1" applyAlignment="1">
      <alignment vertical="center"/>
    </xf>
    <xf numFmtId="0" fontId="0" fillId="3" borderId="22" xfId="0" applyFill="1" applyBorder="1" applyAlignment="1">
      <alignment horizontal="centerContinuous" vertical="center"/>
    </xf>
    <xf numFmtId="0" fontId="2" fillId="5" borderId="23" xfId="0" applyNumberFormat="1" applyFont="1" applyFill="1" applyBorder="1" applyAlignment="1">
      <alignment horizontal="center" vertical="center"/>
    </xf>
    <xf numFmtId="0" fontId="0" fillId="3" borderId="22" xfId="0" applyFill="1" applyBorder="1" applyAlignment="1">
      <alignment horizontal="center" vertical="center"/>
    </xf>
    <xf numFmtId="166" fontId="0" fillId="7" borderId="24" xfId="0" applyNumberFormat="1" applyFill="1" applyBorder="1" applyAlignment="1">
      <alignment horizontal="center" vertical="center"/>
    </xf>
    <xf numFmtId="0" fontId="50" fillId="2" borderId="25" xfId="0" applyFont="1" applyFill="1" applyBorder="1" applyAlignment="1">
      <alignment vertical="center"/>
    </xf>
    <xf numFmtId="0" fontId="50" fillId="2" borderId="0" xfId="0" applyFont="1" applyFill="1" applyBorder="1" applyAlignment="1">
      <alignment vertical="center"/>
    </xf>
    <xf numFmtId="0" fontId="0" fillId="2" borderId="0" xfId="0" applyFill="1" applyBorder="1"/>
    <xf numFmtId="0" fontId="0" fillId="2" borderId="25" xfId="0" applyFill="1" applyBorder="1"/>
    <xf numFmtId="0" fontId="0" fillId="2" borderId="0" xfId="0" applyFill="1" applyBorder="1" applyAlignment="1">
      <alignment horizontal="center"/>
    </xf>
    <xf numFmtId="166" fontId="0" fillId="2" borderId="0" xfId="0" applyNumberFormat="1" applyFill="1"/>
    <xf numFmtId="0" fontId="13" fillId="6" borderId="20" xfId="0" applyFont="1" applyFill="1" applyBorder="1" applyAlignment="1">
      <alignment horizontal="left" vertical="center"/>
    </xf>
    <xf numFmtId="0" fontId="13" fillId="6" borderId="26" xfId="0" applyFont="1" applyFill="1" applyBorder="1" applyAlignment="1">
      <alignment horizontal="left" vertical="center"/>
    </xf>
    <xf numFmtId="0" fontId="17" fillId="6" borderId="26" xfId="0" applyFont="1" applyFill="1" applyBorder="1" applyAlignment="1">
      <alignment horizontal="left" vertical="center"/>
    </xf>
    <xf numFmtId="0" fontId="18" fillId="6" borderId="0" xfId="0" applyFont="1" applyFill="1" applyBorder="1" applyAlignment="1">
      <alignment horizontal="right" vertical="center"/>
    </xf>
    <xf numFmtId="0" fontId="3" fillId="6" borderId="27" xfId="0" applyFont="1" applyFill="1" applyBorder="1" applyAlignment="1" applyProtection="1">
      <alignment horizontal="left" vertical="center"/>
      <protection hidden="1"/>
    </xf>
    <xf numFmtId="0" fontId="0" fillId="6" borderId="27" xfId="0" applyFill="1" applyBorder="1" applyAlignment="1" applyProtection="1">
      <alignment horizontal="center" vertical="center"/>
      <protection hidden="1"/>
    </xf>
    <xf numFmtId="170" fontId="0" fillId="6" borderId="27" xfId="0" applyNumberFormat="1" applyFill="1" applyBorder="1" applyAlignment="1" applyProtection="1">
      <alignment horizontal="left" vertical="center"/>
      <protection hidden="1"/>
    </xf>
    <xf numFmtId="0" fontId="0" fillId="6" borderId="26" xfId="0" applyFill="1" applyBorder="1" applyAlignment="1">
      <alignment vertical="center"/>
    </xf>
    <xf numFmtId="0" fontId="0" fillId="6" borderId="28" xfId="0" applyFill="1" applyBorder="1" applyAlignment="1">
      <alignment vertical="center"/>
    </xf>
    <xf numFmtId="167" fontId="0" fillId="5" borderId="0" xfId="0" applyNumberFormat="1" applyFill="1" applyBorder="1" applyAlignment="1">
      <alignment horizontal="center" vertical="center"/>
    </xf>
    <xf numFmtId="167" fontId="0" fillId="5" borderId="29" xfId="0" applyNumberFormat="1" applyFill="1" applyBorder="1" applyAlignment="1">
      <alignment horizontal="center" vertical="center"/>
    </xf>
    <xf numFmtId="49" fontId="2" fillId="3" borderId="8" xfId="0" applyNumberFormat="1" applyFont="1" applyFill="1" applyBorder="1" applyAlignment="1">
      <alignment horizontal="center"/>
    </xf>
    <xf numFmtId="166" fontId="0" fillId="5" borderId="0" xfId="0" applyNumberFormat="1" applyFill="1" applyBorder="1" applyAlignment="1">
      <alignment horizontal="center" vertical="center"/>
    </xf>
    <xf numFmtId="166" fontId="0" fillId="5" borderId="29" xfId="0" applyNumberFormat="1" applyFill="1" applyBorder="1" applyAlignment="1">
      <alignment horizontal="center" vertical="center"/>
    </xf>
    <xf numFmtId="49" fontId="2" fillId="3" borderId="10" xfId="0" applyNumberFormat="1" applyFont="1" applyFill="1" applyBorder="1" applyAlignment="1">
      <alignment horizontal="center"/>
    </xf>
    <xf numFmtId="166" fontId="0" fillId="5" borderId="2" xfId="0" applyNumberFormat="1" applyFill="1" applyBorder="1" applyAlignment="1">
      <alignment horizontal="center" vertical="center"/>
    </xf>
    <xf numFmtId="11" fontId="0" fillId="5" borderId="30" xfId="0" applyNumberFormat="1" applyFill="1" applyBorder="1" applyAlignment="1">
      <alignment horizontal="center" vertical="center"/>
    </xf>
    <xf numFmtId="166" fontId="2" fillId="6" borderId="21" xfId="0" applyNumberFormat="1" applyFont="1" applyFill="1" applyBorder="1" applyAlignment="1">
      <alignment horizontal="left" vertical="center"/>
    </xf>
    <xf numFmtId="166" fontId="2" fillId="6" borderId="21" xfId="0" applyNumberFormat="1" applyFont="1" applyFill="1" applyBorder="1" applyAlignment="1">
      <alignment horizontal="right" vertical="center"/>
    </xf>
    <xf numFmtId="165" fontId="0" fillId="2" borderId="0" xfId="0" applyNumberFormat="1" applyFill="1"/>
    <xf numFmtId="2" fontId="0" fillId="5" borderId="0" xfId="0" applyNumberFormat="1" applyFill="1" applyBorder="1" applyAlignment="1">
      <alignment horizontal="center" vertical="center"/>
    </xf>
    <xf numFmtId="165" fontId="58" fillId="2" borderId="0" xfId="0" applyNumberFormat="1" applyFont="1" applyFill="1" applyAlignment="1">
      <alignment horizontal="center"/>
    </xf>
    <xf numFmtId="165" fontId="58" fillId="2" borderId="0" xfId="0" applyNumberFormat="1" applyFont="1" applyFill="1"/>
    <xf numFmtId="170" fontId="0" fillId="2" borderId="0" xfId="0" applyNumberFormat="1" applyFill="1"/>
    <xf numFmtId="0" fontId="0" fillId="6" borderId="9" xfId="0" applyFill="1" applyBorder="1" applyAlignment="1">
      <alignment vertical="center"/>
    </xf>
    <xf numFmtId="0" fontId="0" fillId="3" borderId="14" xfId="0" applyNumberFormat="1" applyFill="1" applyBorder="1" applyAlignment="1">
      <alignment horizontal="center" vertical="center" wrapText="1"/>
    </xf>
    <xf numFmtId="49" fontId="48" fillId="8" borderId="0" xfId="0" applyNumberFormat="1" applyFont="1" applyFill="1" applyBorder="1" applyAlignment="1">
      <alignment horizontal="right" vertical="center"/>
    </xf>
    <xf numFmtId="0" fontId="48" fillId="8" borderId="0" xfId="0" applyFont="1" applyFill="1" applyBorder="1" applyAlignment="1">
      <alignment vertical="center"/>
    </xf>
    <xf numFmtId="0" fontId="49" fillId="8" borderId="0" xfId="0" applyNumberFormat="1" applyFont="1" applyFill="1" applyBorder="1" applyAlignment="1">
      <alignment vertical="center"/>
    </xf>
    <xf numFmtId="0" fontId="0" fillId="6" borderId="31" xfId="0" applyFill="1" applyBorder="1" applyAlignment="1">
      <alignment horizontal="center"/>
    </xf>
    <xf numFmtId="0" fontId="0" fillId="3" borderId="31" xfId="0" applyFill="1" applyBorder="1" applyAlignment="1">
      <alignment horizontal="center"/>
    </xf>
    <xf numFmtId="0" fontId="2" fillId="3" borderId="32" xfId="0" applyFont="1" applyFill="1" applyBorder="1" applyAlignment="1">
      <alignment horizontal="center"/>
    </xf>
    <xf numFmtId="0" fontId="0" fillId="2" borderId="0" xfId="0" applyNumberFormat="1" applyFill="1"/>
    <xf numFmtId="0" fontId="2" fillId="2" borderId="0" xfId="0" applyFont="1" applyFill="1"/>
    <xf numFmtId="0" fontId="0" fillId="3" borderId="21" xfId="0" applyFill="1" applyBorder="1" applyAlignment="1">
      <alignment horizontal="left" vertical="center"/>
    </xf>
    <xf numFmtId="0" fontId="0" fillId="3" borderId="21" xfId="0" applyFill="1" applyBorder="1" applyAlignment="1">
      <alignment horizontal="center" vertical="center"/>
    </xf>
    <xf numFmtId="49" fontId="0" fillId="3" borderId="21" xfId="0" applyNumberFormat="1" applyFill="1" applyBorder="1" applyAlignment="1">
      <alignment horizontal="left" vertical="center"/>
    </xf>
    <xf numFmtId="0" fontId="2" fillId="5" borderId="15" xfId="0" applyNumberFormat="1" applyFont="1" applyFill="1" applyBorder="1" applyAlignment="1">
      <alignment horizontal="center" vertical="center"/>
    </xf>
    <xf numFmtId="0" fontId="0" fillId="6" borderId="1" xfId="0" applyFill="1" applyBorder="1" applyAlignment="1">
      <alignment horizontal="center"/>
    </xf>
    <xf numFmtId="0" fontId="0" fillId="6" borderId="21" xfId="0" applyFill="1" applyBorder="1" applyAlignment="1">
      <alignment horizontal="center"/>
    </xf>
    <xf numFmtId="0" fontId="0" fillId="6" borderId="0" xfId="0" applyFill="1" applyBorder="1" applyAlignment="1" applyProtection="1">
      <alignment horizontal="left" vertical="center"/>
      <protection hidden="1"/>
    </xf>
    <xf numFmtId="167" fontId="0" fillId="5" borderId="33" xfId="0" applyNumberFormat="1" applyFill="1" applyBorder="1" applyAlignment="1" applyProtection="1">
      <alignment horizontal="center" vertical="center"/>
      <protection hidden="1"/>
    </xf>
    <xf numFmtId="167" fontId="0" fillId="5" borderId="34" xfId="0" applyNumberFormat="1" applyFill="1" applyBorder="1" applyAlignment="1" applyProtection="1">
      <alignment horizontal="center" vertical="center"/>
      <protection hidden="1"/>
    </xf>
    <xf numFmtId="49" fontId="53" fillId="3" borderId="35" xfId="0" applyNumberFormat="1" applyFont="1" applyFill="1" applyBorder="1" applyAlignment="1">
      <alignment horizontal="center"/>
    </xf>
    <xf numFmtId="167" fontId="0" fillId="5" borderId="36" xfId="0" applyNumberFormat="1" applyFill="1" applyBorder="1" applyAlignment="1" applyProtection="1">
      <alignment horizontal="center" vertical="center"/>
      <protection hidden="1"/>
    </xf>
    <xf numFmtId="167" fontId="0" fillId="5" borderId="0" xfId="0" applyNumberFormat="1" applyFill="1" applyBorder="1" applyAlignment="1" applyProtection="1">
      <alignment horizontal="center" vertical="center"/>
      <protection hidden="1"/>
    </xf>
    <xf numFmtId="167" fontId="0" fillId="5" borderId="29" xfId="0" applyNumberFormat="1" applyFill="1" applyBorder="1" applyAlignment="1" applyProtection="1">
      <alignment horizontal="center" vertical="center"/>
      <protection hidden="1"/>
    </xf>
    <xf numFmtId="167" fontId="0" fillId="5" borderId="9" xfId="0" applyNumberFormat="1" applyFill="1" applyBorder="1" applyAlignment="1" applyProtection="1">
      <alignment horizontal="center" vertical="center"/>
      <protection hidden="1"/>
    </xf>
    <xf numFmtId="167" fontId="0" fillId="5" borderId="9" xfId="0" applyNumberFormat="1" applyFill="1" applyBorder="1" applyAlignment="1">
      <alignment horizontal="center" vertical="center"/>
    </xf>
    <xf numFmtId="0" fontId="5" fillId="3" borderId="2" xfId="0" applyFont="1" applyFill="1" applyBorder="1" applyAlignment="1">
      <alignment horizontal="center" vertical="center"/>
    </xf>
    <xf numFmtId="0" fontId="5" fillId="3" borderId="37" xfId="0" applyFont="1" applyFill="1" applyBorder="1" applyAlignment="1">
      <alignment horizontal="center" vertical="center"/>
    </xf>
    <xf numFmtId="0" fontId="0" fillId="2" borderId="0" xfId="0" applyFill="1" applyAlignment="1" applyProtection="1">
      <alignment vertical="center"/>
      <protection hidden="1"/>
    </xf>
    <xf numFmtId="0" fontId="3" fillId="6" borderId="38" xfId="0" applyFont="1" applyFill="1" applyBorder="1" applyAlignment="1">
      <alignment horizontal="left" vertical="top"/>
    </xf>
    <xf numFmtId="0" fontId="3" fillId="6" borderId="39" xfId="0" applyFont="1" applyFill="1" applyBorder="1" applyAlignment="1">
      <alignment horizontal="left" vertical="top"/>
    </xf>
    <xf numFmtId="0" fontId="3" fillId="6" borderId="38" xfId="0" applyFont="1" applyFill="1" applyBorder="1" applyAlignment="1">
      <alignment horizontal="center" vertical="top"/>
    </xf>
    <xf numFmtId="0" fontId="0" fillId="3" borderId="40" xfId="0" applyFill="1" applyBorder="1" applyAlignment="1">
      <alignment horizontal="center" vertical="center"/>
    </xf>
    <xf numFmtId="0" fontId="0" fillId="2" borderId="0" xfId="0" applyFill="1" applyAlignment="1"/>
    <xf numFmtId="11" fontId="0" fillId="2" borderId="0" xfId="0" applyNumberFormat="1" applyFill="1" applyBorder="1" applyAlignment="1">
      <alignment horizontal="center"/>
    </xf>
    <xf numFmtId="0" fontId="50" fillId="2" borderId="0" xfId="0" applyFont="1" applyFill="1" applyBorder="1" applyAlignment="1"/>
    <xf numFmtId="0" fontId="50" fillId="2" borderId="0" xfId="0" applyFont="1" applyFill="1" applyBorder="1"/>
    <xf numFmtId="0" fontId="3" fillId="3" borderId="31" xfId="0" applyFont="1" applyFill="1" applyBorder="1" applyAlignment="1">
      <alignment horizontal="center"/>
    </xf>
    <xf numFmtId="166" fontId="50" fillId="5" borderId="0" xfId="0" applyNumberFormat="1" applyFont="1" applyFill="1" applyAlignment="1">
      <alignment horizontal="center"/>
    </xf>
    <xf numFmtId="167" fontId="0" fillId="5" borderId="0" xfId="0" applyNumberFormat="1" applyFill="1" applyAlignment="1">
      <alignment horizontal="center"/>
    </xf>
    <xf numFmtId="11" fontId="0" fillId="5" borderId="0" xfId="0" applyNumberFormat="1" applyFill="1" applyAlignment="1">
      <alignment horizontal="center"/>
    </xf>
    <xf numFmtId="165" fontId="0" fillId="5" borderId="0" xfId="0" applyNumberFormat="1" applyFill="1" applyAlignment="1">
      <alignment horizontal="center"/>
    </xf>
    <xf numFmtId="166" fontId="0" fillId="8" borderId="25" xfId="0" applyNumberFormat="1" applyFill="1" applyBorder="1"/>
    <xf numFmtId="0" fontId="0" fillId="3" borderId="0" xfId="0" applyFill="1" applyBorder="1"/>
    <xf numFmtId="167" fontId="0" fillId="2" borderId="0" xfId="0" applyNumberFormat="1" applyFill="1"/>
    <xf numFmtId="166" fontId="0" fillId="2" borderId="0" xfId="0" applyNumberFormat="1" applyFill="1" applyAlignment="1">
      <alignment horizontal="center"/>
    </xf>
    <xf numFmtId="166" fontId="3" fillId="3" borderId="31" xfId="0" applyNumberFormat="1" applyFont="1" applyFill="1" applyBorder="1" applyAlignment="1">
      <alignment horizontal="center"/>
    </xf>
    <xf numFmtId="167" fontId="0" fillId="5" borderId="0" xfId="0" applyNumberFormat="1" applyFill="1"/>
    <xf numFmtId="165" fontId="0" fillId="5" borderId="0" xfId="0" applyNumberFormat="1" applyFill="1"/>
    <xf numFmtId="0" fontId="0" fillId="3" borderId="0" xfId="0" applyFill="1" applyBorder="1" applyAlignment="1">
      <alignment vertical="center"/>
    </xf>
    <xf numFmtId="0" fontId="0" fillId="3" borderId="14" xfId="0" applyFill="1" applyBorder="1" applyAlignment="1">
      <alignment horizontal="center" vertical="justify" wrapText="1"/>
    </xf>
    <xf numFmtId="0" fontId="0" fillId="2" borderId="0" xfId="0" applyFill="1" applyAlignment="1">
      <alignment vertical="justify"/>
    </xf>
    <xf numFmtId="0" fontId="0" fillId="0" borderId="0" xfId="0" applyAlignment="1">
      <alignment vertical="justify"/>
    </xf>
    <xf numFmtId="166" fontId="0" fillId="3" borderId="2" xfId="0" applyNumberFormat="1" applyFill="1" applyBorder="1" applyAlignment="1">
      <alignment horizontal="center" vertical="justify" wrapText="1"/>
    </xf>
    <xf numFmtId="0" fontId="0" fillId="3" borderId="2" xfId="0" applyFill="1" applyBorder="1" applyAlignment="1">
      <alignment horizontal="center" vertical="justify" wrapText="1"/>
    </xf>
    <xf numFmtId="0" fontId="0" fillId="0" borderId="0" xfId="0" applyAlignment="1">
      <alignment horizontal="center" vertical="justify" wrapText="1"/>
    </xf>
    <xf numFmtId="0" fontId="50" fillId="2" borderId="0" xfId="0" applyFont="1" applyFill="1" applyAlignment="1">
      <alignment horizontal="left"/>
    </xf>
    <xf numFmtId="0" fontId="50" fillId="2" borderId="0" xfId="0" applyFont="1" applyFill="1"/>
    <xf numFmtId="0" fontId="11" fillId="2" borderId="0" xfId="0" applyFont="1" applyFill="1" applyAlignment="1">
      <alignment horizontal="center"/>
    </xf>
    <xf numFmtId="165" fontId="0" fillId="2" borderId="0" xfId="0" applyNumberFormat="1" applyFill="1" applyAlignment="1">
      <alignment horizontal="center"/>
    </xf>
    <xf numFmtId="0" fontId="50" fillId="2" borderId="0" xfId="0" applyFont="1" applyFill="1" applyAlignment="1">
      <alignment horizontal="left" vertical="center"/>
    </xf>
    <xf numFmtId="165" fontId="0" fillId="2" borderId="0" xfId="0" applyNumberFormat="1" applyFill="1" applyAlignment="1">
      <alignment horizontal="center" vertical="center"/>
    </xf>
    <xf numFmtId="0" fontId="0" fillId="3" borderId="41" xfId="0" applyFill="1" applyBorder="1" applyAlignment="1">
      <alignment vertical="center"/>
    </xf>
    <xf numFmtId="0" fontId="0" fillId="3" borderId="42" xfId="0" applyFill="1" applyBorder="1" applyAlignment="1">
      <alignment horizontal="right" vertical="center"/>
    </xf>
    <xf numFmtId="0" fontId="3" fillId="3" borderId="6" xfId="0" applyFont="1" applyFill="1" applyBorder="1" applyAlignment="1">
      <alignment horizontal="center" vertical="center"/>
    </xf>
    <xf numFmtId="0" fontId="3" fillId="3" borderId="43" xfId="0" applyFont="1" applyFill="1" applyBorder="1" applyAlignment="1">
      <alignment horizontal="center" vertical="center"/>
    </xf>
    <xf numFmtId="165" fontId="3" fillId="3" borderId="43" xfId="0" applyNumberFormat="1" applyFont="1" applyFill="1" applyBorder="1" applyAlignment="1">
      <alignment horizontal="center" vertical="center"/>
    </xf>
    <xf numFmtId="165" fontId="3" fillId="3" borderId="44" xfId="0" applyNumberFormat="1" applyFont="1" applyFill="1" applyBorder="1" applyAlignment="1">
      <alignment horizontal="center" vertical="center"/>
    </xf>
    <xf numFmtId="0" fontId="46" fillId="2" borderId="0" xfId="0" applyFont="1" applyFill="1"/>
    <xf numFmtId="0" fontId="17" fillId="6" borderId="45" xfId="0" applyFont="1" applyFill="1" applyBorder="1" applyAlignment="1">
      <alignment horizontal="center" vertical="center"/>
    </xf>
    <xf numFmtId="165" fontId="0" fillId="6" borderId="45" xfId="0" applyNumberFormat="1" applyFill="1" applyBorder="1" applyAlignment="1">
      <alignment horizontal="center" vertical="center"/>
    </xf>
    <xf numFmtId="165" fontId="0" fillId="6" borderId="46" xfId="0" applyNumberFormat="1" applyFill="1" applyBorder="1" applyAlignment="1">
      <alignment horizontal="center" vertical="center"/>
    </xf>
    <xf numFmtId="0" fontId="0" fillId="0" borderId="0" xfId="0" applyAlignment="1">
      <alignment horizontal="center" vertical="justify"/>
    </xf>
    <xf numFmtId="0" fontId="46" fillId="2" borderId="0" xfId="0" applyFont="1" applyFill="1" applyBorder="1"/>
    <xf numFmtId="0" fontId="0" fillId="3" borderId="0" xfId="0" applyFill="1"/>
    <xf numFmtId="0" fontId="0" fillId="3" borderId="31" xfId="0" applyFill="1" applyBorder="1"/>
    <xf numFmtId="0" fontId="30" fillId="3" borderId="31" xfId="0" applyFont="1" applyFill="1" applyBorder="1" applyAlignment="1">
      <alignment horizontal="center"/>
    </xf>
    <xf numFmtId="0" fontId="25" fillId="3" borderId="31" xfId="0" applyFont="1" applyFill="1" applyBorder="1" applyAlignment="1">
      <alignment horizontal="center"/>
    </xf>
    <xf numFmtId="0" fontId="26" fillId="3" borderId="31" xfId="0" applyFont="1" applyFill="1" applyBorder="1" applyAlignment="1">
      <alignment horizontal="center"/>
    </xf>
    <xf numFmtId="0" fontId="27" fillId="3" borderId="31" xfId="0" applyFont="1" applyFill="1" applyBorder="1" applyAlignment="1">
      <alignment horizontal="center"/>
    </xf>
    <xf numFmtId="0" fontId="28" fillId="3" borderId="31" xfId="0" applyFont="1" applyFill="1" applyBorder="1" applyAlignment="1">
      <alignment horizontal="center"/>
    </xf>
    <xf numFmtId="0" fontId="29" fillId="3" borderId="31" xfId="0" applyFont="1" applyFill="1" applyBorder="1" applyAlignment="1">
      <alignment horizontal="center"/>
    </xf>
    <xf numFmtId="0" fontId="24" fillId="3" borderId="2" xfId="0" applyFont="1" applyFill="1" applyBorder="1" applyAlignment="1">
      <alignment horizontal="center"/>
    </xf>
    <xf numFmtId="166" fontId="0" fillId="5" borderId="0" xfId="0" applyNumberFormat="1" applyFill="1"/>
    <xf numFmtId="0" fontId="24" fillId="2" borderId="0" xfId="0" applyFont="1" applyFill="1"/>
    <xf numFmtId="0" fontId="46" fillId="2" borderId="47" xfId="0" applyFont="1" applyFill="1" applyBorder="1"/>
    <xf numFmtId="49" fontId="69" fillId="5" borderId="48" xfId="0" applyNumberFormat="1" applyFont="1" applyFill="1" applyBorder="1"/>
    <xf numFmtId="0" fontId="70" fillId="5" borderId="0" xfId="0" applyFont="1" applyFill="1" applyBorder="1"/>
    <xf numFmtId="0" fontId="69" fillId="5" borderId="0" xfId="0" applyFont="1" applyFill="1" applyBorder="1"/>
    <xf numFmtId="0" fontId="47" fillId="2" borderId="0" xfId="0" applyFont="1" applyFill="1" applyBorder="1"/>
    <xf numFmtId="0" fontId="69" fillId="5" borderId="48" xfId="0" applyFont="1" applyFill="1" applyBorder="1"/>
    <xf numFmtId="0" fontId="18" fillId="5" borderId="49" xfId="0" applyFont="1" applyFill="1" applyBorder="1"/>
    <xf numFmtId="0" fontId="18" fillId="5" borderId="50" xfId="0" applyFont="1" applyFill="1" applyBorder="1"/>
    <xf numFmtId="0" fontId="0" fillId="2" borderId="50" xfId="0" applyFill="1" applyBorder="1"/>
    <xf numFmtId="0" fontId="0" fillId="2" borderId="51" xfId="0" applyFill="1" applyBorder="1"/>
    <xf numFmtId="0" fontId="52" fillId="0" borderId="52" xfId="0" applyFont="1" applyFill="1" applyBorder="1" applyAlignment="1">
      <alignment horizontal="center" vertical="center"/>
    </xf>
    <xf numFmtId="0" fontId="0" fillId="3" borderId="53" xfId="0" applyFill="1" applyBorder="1" applyAlignment="1">
      <alignment horizontal="right" vertical="center"/>
    </xf>
    <xf numFmtId="166" fontId="52" fillId="0" borderId="52" xfId="0" applyNumberFormat="1" applyFont="1" applyFill="1" applyBorder="1" applyAlignment="1">
      <alignment horizontal="center" vertical="center"/>
    </xf>
    <xf numFmtId="0" fontId="52" fillId="0" borderId="54" xfId="0" applyFont="1" applyFill="1" applyBorder="1" applyAlignment="1">
      <alignment horizontal="center" vertical="center"/>
    </xf>
    <xf numFmtId="166" fontId="52" fillId="0" borderId="54" xfId="0" applyNumberFormat="1" applyFont="1" applyFill="1" applyBorder="1" applyAlignment="1">
      <alignment horizontal="center" vertical="center"/>
    </xf>
    <xf numFmtId="0" fontId="24" fillId="3" borderId="0" xfId="0" applyFont="1" applyFill="1"/>
    <xf numFmtId="0" fontId="0" fillId="6" borderId="0" xfId="0" applyFill="1"/>
    <xf numFmtId="0" fontId="31" fillId="4" borderId="0" xfId="0" applyFont="1" applyFill="1"/>
    <xf numFmtId="0" fontId="24" fillId="0" borderId="0" xfId="0" applyFont="1"/>
    <xf numFmtId="0" fontId="24" fillId="4" borderId="0" xfId="0" applyFont="1" applyFill="1"/>
    <xf numFmtId="167" fontId="0" fillId="5" borderId="55" xfId="0" applyNumberFormat="1" applyFill="1" applyBorder="1" applyAlignment="1" applyProtection="1">
      <alignment horizontal="center" vertical="center"/>
      <protection hidden="1"/>
    </xf>
    <xf numFmtId="49" fontId="0" fillId="3" borderId="7" xfId="0" applyNumberFormat="1" applyFill="1" applyBorder="1" applyAlignment="1">
      <alignment horizontal="center"/>
    </xf>
    <xf numFmtId="49" fontId="0" fillId="3" borderId="56" xfId="0" applyNumberFormat="1" applyFill="1" applyBorder="1" applyAlignment="1">
      <alignment horizontal="center"/>
    </xf>
    <xf numFmtId="49" fontId="0" fillId="3" borderId="57" xfId="0" applyNumberFormat="1" applyFill="1" applyBorder="1" applyAlignment="1">
      <alignment horizontal="center"/>
    </xf>
    <xf numFmtId="49" fontId="0" fillId="3" borderId="58" xfId="0" applyNumberFormat="1" applyFill="1" applyBorder="1" applyAlignment="1" applyProtection="1">
      <alignment horizontal="center" vertical="center" wrapText="1"/>
      <protection hidden="1"/>
    </xf>
    <xf numFmtId="49" fontId="0" fillId="3" borderId="43" xfId="0" applyNumberFormat="1" applyFill="1" applyBorder="1" applyAlignment="1" applyProtection="1">
      <alignment horizontal="center" vertical="center" wrapText="1"/>
      <protection hidden="1"/>
    </xf>
    <xf numFmtId="49" fontId="0" fillId="3" borderId="59" xfId="0" applyNumberFormat="1" applyFill="1" applyBorder="1" applyAlignment="1" applyProtection="1">
      <alignment horizontal="center" vertical="center" wrapText="1"/>
      <protection hidden="1"/>
    </xf>
    <xf numFmtId="0" fontId="3" fillId="6" borderId="60" xfId="0" applyFont="1" applyFill="1" applyBorder="1" applyAlignment="1">
      <alignment horizontal="center" vertical="center"/>
    </xf>
    <xf numFmtId="0" fontId="0" fillId="6" borderId="21" xfId="0" applyFill="1" applyBorder="1" applyAlignment="1">
      <alignment vertical="center"/>
    </xf>
    <xf numFmtId="0" fontId="3" fillId="6" borderId="21" xfId="0" applyFont="1" applyFill="1" applyBorder="1" applyAlignment="1">
      <alignment horizontal="center" vertical="center"/>
    </xf>
    <xf numFmtId="0" fontId="0" fillId="6" borderId="21" xfId="0" applyFill="1" applyBorder="1" applyAlignment="1">
      <alignment horizontal="center" vertical="center"/>
    </xf>
    <xf numFmtId="0" fontId="50" fillId="6" borderId="21" xfId="0" applyFont="1" applyFill="1" applyBorder="1" applyAlignment="1">
      <alignment horizontal="left" vertical="center"/>
    </xf>
    <xf numFmtId="0" fontId="0" fillId="6" borderId="61" xfId="0" applyFill="1" applyBorder="1" applyAlignment="1">
      <alignment horizontal="center" vertical="center"/>
    </xf>
    <xf numFmtId="1" fontId="0" fillId="3" borderId="62" xfId="0" applyNumberFormat="1" applyFill="1" applyBorder="1" applyAlignment="1">
      <alignment horizontal="center" vertical="center"/>
    </xf>
    <xf numFmtId="167" fontId="0" fillId="5" borderId="17" xfId="0" applyNumberFormat="1" applyFill="1" applyBorder="1" applyAlignment="1">
      <alignment horizontal="center" vertical="center"/>
    </xf>
    <xf numFmtId="0" fontId="5" fillId="3" borderId="0" xfId="0" applyFont="1" applyFill="1"/>
    <xf numFmtId="0" fontId="6" fillId="5" borderId="44" xfId="0" applyFont="1" applyFill="1" applyBorder="1" applyAlignment="1">
      <alignment horizontal="center" vertical="center" wrapText="1"/>
    </xf>
    <xf numFmtId="0" fontId="0" fillId="0" borderId="4" xfId="0" applyBorder="1"/>
    <xf numFmtId="0" fontId="13" fillId="6" borderId="39" xfId="0" applyFont="1" applyFill="1" applyBorder="1" applyAlignment="1">
      <alignment horizontal="left" vertical="center"/>
    </xf>
    <xf numFmtId="0" fontId="13" fillId="6" borderId="2" xfId="0" applyFont="1" applyFill="1" applyBorder="1" applyAlignment="1">
      <alignment vertical="center"/>
    </xf>
    <xf numFmtId="0" fontId="0" fillId="2" borderId="45" xfId="0" applyFill="1" applyBorder="1"/>
    <xf numFmtId="0" fontId="37" fillId="8" borderId="0" xfId="0" applyFont="1" applyFill="1" applyBorder="1" applyAlignment="1">
      <alignment vertical="center"/>
    </xf>
    <xf numFmtId="0" fontId="6" fillId="3" borderId="31" xfId="0" applyFont="1" applyFill="1" applyBorder="1" applyAlignment="1">
      <alignment horizontal="center"/>
    </xf>
    <xf numFmtId="1" fontId="75" fillId="3" borderId="63" xfId="0" applyNumberFormat="1" applyFont="1" applyFill="1" applyBorder="1" applyAlignment="1">
      <alignment horizontal="center" vertical="center" wrapText="1"/>
    </xf>
    <xf numFmtId="49" fontId="0" fillId="3" borderId="22" xfId="0" applyNumberFormat="1" applyFill="1" applyBorder="1" applyAlignment="1">
      <alignment horizontal="center"/>
    </xf>
    <xf numFmtId="167" fontId="0" fillId="5" borderId="64" xfId="0" applyNumberFormat="1" applyFill="1" applyBorder="1" applyAlignment="1" applyProtection="1">
      <alignment horizontal="center" vertical="center"/>
      <protection hidden="1"/>
    </xf>
    <xf numFmtId="0" fontId="0" fillId="6" borderId="0" xfId="0" applyFill="1" applyBorder="1"/>
    <xf numFmtId="0" fontId="3" fillId="6" borderId="0" xfId="0" applyFont="1" applyFill="1" applyBorder="1" applyAlignment="1" applyProtection="1">
      <alignment horizontal="left" vertical="center"/>
      <protection hidden="1"/>
    </xf>
    <xf numFmtId="0" fontId="0" fillId="6" borderId="0" xfId="0" applyFill="1" applyBorder="1" applyAlignment="1" applyProtection="1">
      <alignment horizontal="center" vertical="center"/>
      <protection hidden="1"/>
    </xf>
    <xf numFmtId="0" fontId="0" fillId="6" borderId="9" xfId="0" applyFill="1" applyBorder="1"/>
    <xf numFmtId="1" fontId="75" fillId="3" borderId="2" xfId="0" applyNumberFormat="1" applyFont="1" applyFill="1" applyBorder="1" applyAlignment="1">
      <alignment horizontal="center" vertical="center" wrapText="1"/>
    </xf>
    <xf numFmtId="0" fontId="0" fillId="2" borderId="0" xfId="0" applyFill="1" applyAlignment="1">
      <alignment horizontal="left"/>
    </xf>
    <xf numFmtId="167" fontId="0" fillId="5" borderId="65" xfId="0" applyNumberFormat="1" applyFill="1" applyBorder="1" applyAlignment="1">
      <alignment horizontal="center" vertical="center"/>
    </xf>
    <xf numFmtId="0" fontId="9" fillId="3" borderId="5"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0" fillId="3" borderId="67" xfId="0" applyFill="1" applyBorder="1" applyAlignment="1">
      <alignment horizontal="center" vertical="justify" wrapText="1"/>
    </xf>
    <xf numFmtId="0" fontId="7" fillId="8" borderId="9" xfId="0" applyFont="1" applyFill="1" applyBorder="1" applyAlignment="1">
      <alignment vertical="center"/>
    </xf>
    <xf numFmtId="167" fontId="0" fillId="5" borderId="68" xfId="0" applyNumberFormat="1" applyFill="1" applyBorder="1" applyAlignment="1">
      <alignment horizontal="center" vertical="center"/>
    </xf>
    <xf numFmtId="167" fontId="3" fillId="5" borderId="68" xfId="0" applyNumberFormat="1" applyFont="1" applyFill="1" applyBorder="1" applyAlignment="1">
      <alignment horizontal="center" vertical="center"/>
    </xf>
    <xf numFmtId="167" fontId="0" fillId="5" borderId="69" xfId="0" applyNumberFormat="1" applyFill="1" applyBorder="1" applyAlignment="1">
      <alignment horizontal="center" vertical="center"/>
    </xf>
    <xf numFmtId="166" fontId="0" fillId="5" borderId="70" xfId="0" applyNumberFormat="1" applyFill="1" applyBorder="1" applyAlignment="1">
      <alignment horizontal="center" vertical="center"/>
    </xf>
    <xf numFmtId="166" fontId="0" fillId="5" borderId="71" xfId="0" applyNumberFormat="1" applyFill="1" applyBorder="1" applyAlignment="1">
      <alignment horizontal="center"/>
    </xf>
    <xf numFmtId="0" fontId="75" fillId="3" borderId="63" xfId="0" applyNumberFormat="1" applyFont="1" applyFill="1" applyBorder="1" applyAlignment="1">
      <alignment horizontal="center" vertical="center" wrapText="1"/>
    </xf>
    <xf numFmtId="0" fontId="0" fillId="2" borderId="0" xfId="0" applyFill="1" applyBorder="1" applyAlignment="1">
      <alignment vertical="center"/>
    </xf>
    <xf numFmtId="1" fontId="75" fillId="3" borderId="67" xfId="0" applyNumberFormat="1" applyFont="1" applyFill="1" applyBorder="1" applyAlignment="1">
      <alignment horizontal="center" vertical="center" wrapText="1"/>
    </xf>
    <xf numFmtId="1" fontId="0" fillId="3" borderId="2" xfId="0" applyNumberFormat="1" applyFill="1" applyBorder="1" applyAlignment="1">
      <alignment horizontal="center" vertical="center" wrapText="1"/>
    </xf>
    <xf numFmtId="1" fontId="74" fillId="5" borderId="63" xfId="0" applyNumberFormat="1" applyFont="1" applyFill="1" applyBorder="1" applyAlignment="1">
      <alignment horizontal="center" vertical="center"/>
    </xf>
    <xf numFmtId="166" fontId="0" fillId="5" borderId="36" xfId="2" applyNumberFormat="1" applyFont="1" applyFill="1" applyBorder="1" applyAlignment="1">
      <alignment horizontal="center" vertical="center"/>
    </xf>
    <xf numFmtId="166" fontId="0" fillId="5" borderId="0" xfId="2" applyNumberFormat="1" applyFont="1" applyFill="1" applyBorder="1" applyAlignment="1">
      <alignment horizontal="center" vertical="center"/>
    </xf>
    <xf numFmtId="166" fontId="0" fillId="5" borderId="9" xfId="2" applyNumberFormat="1" applyFont="1" applyFill="1" applyBorder="1" applyAlignment="1">
      <alignment horizontal="center" vertical="center"/>
    </xf>
    <xf numFmtId="166" fontId="0" fillId="5" borderId="45" xfId="2" applyNumberFormat="1" applyFont="1" applyFill="1" applyBorder="1" applyAlignment="1">
      <alignment horizontal="center" vertical="center"/>
    </xf>
    <xf numFmtId="166" fontId="0" fillId="5" borderId="46" xfId="2" applyNumberFormat="1" applyFont="1" applyFill="1" applyBorder="1" applyAlignment="1">
      <alignment horizontal="center" vertical="center"/>
    </xf>
    <xf numFmtId="0" fontId="5" fillId="6" borderId="60" xfId="0" applyFont="1" applyFill="1" applyBorder="1" applyAlignment="1">
      <alignment horizontal="left" vertical="center"/>
    </xf>
    <xf numFmtId="1" fontId="74" fillId="5" borderId="67" xfId="0" applyNumberFormat="1" applyFont="1" applyFill="1" applyBorder="1" applyAlignment="1">
      <alignment horizontal="center" vertical="center"/>
    </xf>
    <xf numFmtId="166" fontId="0" fillId="5" borderId="33" xfId="2" applyNumberFormat="1" applyFont="1" applyFill="1" applyBorder="1" applyAlignment="1">
      <alignment horizontal="center" vertical="center"/>
    </xf>
    <xf numFmtId="0" fontId="0" fillId="3" borderId="2" xfId="0" applyFill="1" applyBorder="1" applyAlignment="1">
      <alignment horizontal="center" vertical="center" wrapText="1"/>
    </xf>
    <xf numFmtId="167" fontId="0" fillId="5" borderId="72" xfId="0" applyNumberFormat="1" applyFill="1" applyBorder="1" applyAlignment="1" applyProtection="1">
      <alignment horizontal="center" vertical="center"/>
      <protection hidden="1"/>
    </xf>
    <xf numFmtId="166" fontId="0" fillId="5" borderId="72" xfId="2" applyNumberFormat="1" applyFont="1" applyFill="1" applyBorder="1" applyAlignment="1">
      <alignment horizontal="center" vertical="center"/>
    </xf>
    <xf numFmtId="0" fontId="81" fillId="0" borderId="0" xfId="0" applyNumberFormat="1" applyFont="1" applyFill="1" applyBorder="1" applyAlignment="1">
      <alignment horizontal="center" vertical="center"/>
    </xf>
    <xf numFmtId="0" fontId="81" fillId="0" borderId="29" xfId="0" applyNumberFormat="1" applyFont="1" applyFill="1" applyBorder="1" applyAlignment="1">
      <alignment horizontal="center" vertical="center"/>
    </xf>
    <xf numFmtId="0" fontId="4" fillId="5" borderId="73" xfId="0" applyFont="1" applyFill="1" applyBorder="1" applyAlignment="1">
      <alignment horizontal="center" vertical="center"/>
    </xf>
    <xf numFmtId="0" fontId="2" fillId="0" borderId="21" xfId="0" applyNumberFormat="1" applyFont="1" applyBorder="1" applyAlignment="1">
      <alignment horizontal="center" vertical="center"/>
    </xf>
    <xf numFmtId="0" fontId="2" fillId="0" borderId="1" xfId="0" applyNumberFormat="1" applyFont="1" applyBorder="1" applyAlignment="1">
      <alignment horizontal="center" vertical="center"/>
    </xf>
    <xf numFmtId="0" fontId="82" fillId="5" borderId="72" xfId="0" applyFont="1" applyFill="1" applyBorder="1" applyAlignment="1">
      <alignment horizontal="center" vertical="center"/>
    </xf>
    <xf numFmtId="0" fontId="83" fillId="5" borderId="45" xfId="0" applyFont="1" applyFill="1" applyBorder="1" applyAlignment="1">
      <alignment horizontal="left" vertical="center"/>
    </xf>
    <xf numFmtId="0" fontId="84" fillId="5" borderId="45" xfId="0" applyFont="1" applyFill="1" applyBorder="1" applyAlignment="1">
      <alignment horizontal="center" vertical="center"/>
    </xf>
    <xf numFmtId="0" fontId="83" fillId="5" borderId="45" xfId="0" applyFont="1" applyFill="1" applyBorder="1" applyAlignment="1">
      <alignment horizontal="center" vertical="center"/>
    </xf>
    <xf numFmtId="0" fontId="85" fillId="5" borderId="45" xfId="0" applyFont="1" applyFill="1" applyBorder="1" applyAlignment="1">
      <alignment vertical="center"/>
    </xf>
    <xf numFmtId="1" fontId="74" fillId="7" borderId="63" xfId="0" applyNumberFormat="1" applyFont="1" applyFill="1" applyBorder="1" applyAlignment="1">
      <alignment horizontal="center" vertical="center"/>
    </xf>
    <xf numFmtId="166" fontId="0" fillId="7" borderId="0" xfId="2" applyNumberFormat="1" applyFont="1" applyFill="1" applyBorder="1" applyAlignment="1">
      <alignment horizontal="center" vertical="center"/>
    </xf>
    <xf numFmtId="166" fontId="0" fillId="7" borderId="34" xfId="2" applyNumberFormat="1" applyFont="1" applyFill="1" applyBorder="1" applyAlignment="1">
      <alignment horizontal="center" vertical="center"/>
    </xf>
    <xf numFmtId="166" fontId="0" fillId="7" borderId="29" xfId="2" applyNumberFormat="1" applyFont="1" applyFill="1" applyBorder="1" applyAlignment="1">
      <alignment horizontal="center" vertical="center"/>
    </xf>
    <xf numFmtId="166" fontId="0" fillId="7" borderId="2" xfId="2" applyNumberFormat="1" applyFont="1" applyFill="1" applyBorder="1" applyAlignment="1">
      <alignment horizontal="center" vertical="center"/>
    </xf>
    <xf numFmtId="166" fontId="0" fillId="7" borderId="32" xfId="2" applyNumberFormat="1" applyFont="1" applyFill="1" applyBorder="1" applyAlignment="1">
      <alignment horizontal="center" vertical="center"/>
    </xf>
    <xf numFmtId="1" fontId="75" fillId="7" borderId="63" xfId="0" applyNumberFormat="1" applyFont="1" applyFill="1" applyBorder="1" applyAlignment="1">
      <alignment horizontal="center" vertical="center" wrapText="1"/>
    </xf>
    <xf numFmtId="166" fontId="0" fillId="7" borderId="72" xfId="2" applyNumberFormat="1" applyFont="1" applyFill="1" applyBorder="1" applyAlignment="1">
      <alignment horizontal="center" vertical="center"/>
    </xf>
    <xf numFmtId="166" fontId="0" fillId="7" borderId="45" xfId="2" applyNumberFormat="1" applyFont="1" applyFill="1" applyBorder="1" applyAlignment="1">
      <alignment horizontal="center" vertical="center"/>
    </xf>
    <xf numFmtId="166" fontId="0" fillId="7" borderId="74" xfId="2" applyNumberFormat="1" applyFont="1" applyFill="1" applyBorder="1" applyAlignment="1">
      <alignment horizontal="center" vertical="center"/>
    </xf>
    <xf numFmtId="0" fontId="0" fillId="7" borderId="75" xfId="0" applyNumberFormat="1" applyFill="1" applyBorder="1" applyAlignment="1">
      <alignment horizontal="center" vertical="center"/>
    </xf>
    <xf numFmtId="166" fontId="0" fillId="7" borderId="17" xfId="0" applyNumberFormat="1" applyFill="1" applyBorder="1" applyAlignment="1">
      <alignment horizontal="center" vertical="center"/>
    </xf>
    <xf numFmtId="0" fontId="0" fillId="7" borderId="58"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76" xfId="0" applyFill="1" applyBorder="1" applyAlignment="1">
      <alignment horizontal="center" vertical="center" wrapText="1"/>
    </xf>
    <xf numFmtId="0" fontId="9" fillId="7" borderId="77" xfId="0" applyNumberFormat="1" applyFont="1" applyFill="1" applyBorder="1" applyAlignment="1">
      <alignment horizontal="center" vertical="center"/>
    </xf>
    <xf numFmtId="0" fontId="9" fillId="7" borderId="14" xfId="0" applyNumberFormat="1" applyFont="1" applyFill="1" applyBorder="1" applyAlignment="1">
      <alignment horizontal="center" vertical="center"/>
    </xf>
    <xf numFmtId="0" fontId="0" fillId="6" borderId="78" xfId="0" applyFill="1" applyBorder="1" applyAlignment="1" applyProtection="1">
      <alignment horizontal="left" vertical="center"/>
      <protection hidden="1"/>
    </xf>
    <xf numFmtId="0" fontId="0" fillId="6" borderId="9" xfId="0" applyFill="1" applyBorder="1" applyAlignment="1" applyProtection="1">
      <alignment horizontal="center" vertical="center"/>
      <protection hidden="1"/>
    </xf>
    <xf numFmtId="0" fontId="18" fillId="6" borderId="48" xfId="0" applyFont="1" applyFill="1" applyBorder="1" applyAlignment="1">
      <alignment vertical="center"/>
    </xf>
    <xf numFmtId="0" fontId="68" fillId="6" borderId="0" xfId="0" applyFont="1" applyFill="1" applyBorder="1" applyAlignment="1">
      <alignment vertical="center"/>
    </xf>
    <xf numFmtId="0" fontId="18" fillId="6" borderId="0" xfId="0" applyFont="1" applyFill="1" applyBorder="1" applyAlignment="1">
      <alignment vertical="center"/>
    </xf>
    <xf numFmtId="0" fontId="46" fillId="5" borderId="4" xfId="0" applyNumberFormat="1" applyFont="1" applyFill="1" applyBorder="1" applyAlignment="1">
      <alignment horizontal="center"/>
    </xf>
    <xf numFmtId="0" fontId="13" fillId="5" borderId="0" xfId="0" applyNumberFormat="1" applyFont="1" applyFill="1" applyBorder="1" applyAlignment="1">
      <alignment horizontal="center"/>
    </xf>
    <xf numFmtId="0" fontId="46" fillId="5" borderId="9" xfId="0" applyNumberFormat="1" applyFont="1" applyFill="1" applyBorder="1" applyAlignment="1">
      <alignment horizontal="center"/>
    </xf>
    <xf numFmtId="0" fontId="0" fillId="6" borderId="4" xfId="0" applyNumberFormat="1" applyFill="1" applyBorder="1"/>
    <xf numFmtId="0" fontId="0" fillId="6" borderId="0" xfId="0" applyNumberFormat="1" applyFill="1" applyBorder="1"/>
    <xf numFmtId="0" fontId="0" fillId="6" borderId="9" xfId="0" applyNumberFormat="1" applyFill="1" applyBorder="1"/>
    <xf numFmtId="0" fontId="46" fillId="6" borderId="4" xfId="0" applyNumberFormat="1" applyFont="1" applyFill="1" applyBorder="1"/>
    <xf numFmtId="0" fontId="46" fillId="6" borderId="0" xfId="0" applyNumberFormat="1" applyFont="1" applyFill="1" applyBorder="1"/>
    <xf numFmtId="0" fontId="46" fillId="6" borderId="9" xfId="0" applyNumberFormat="1" applyFont="1" applyFill="1" applyBorder="1"/>
    <xf numFmtId="0" fontId="46" fillId="3" borderId="4" xfId="0" applyNumberFormat="1" applyFont="1" applyFill="1" applyBorder="1"/>
    <xf numFmtId="0" fontId="46" fillId="3" borderId="0" xfId="0" applyNumberFormat="1" applyFont="1" applyFill="1" applyBorder="1"/>
    <xf numFmtId="0" fontId="46" fillId="3" borderId="9" xfId="0" applyNumberFormat="1" applyFont="1" applyFill="1" applyBorder="1"/>
    <xf numFmtId="0" fontId="0" fillId="3" borderId="4" xfId="0" applyNumberFormat="1" applyFill="1" applyBorder="1"/>
    <xf numFmtId="0" fontId="18" fillId="3" borderId="0" xfId="0" applyNumberFormat="1" applyFont="1" applyFill="1" applyBorder="1" applyAlignment="1">
      <alignment horizontal="center"/>
    </xf>
    <xf numFmtId="0" fontId="0" fillId="3" borderId="9" xfId="0" applyNumberFormat="1" applyFill="1" applyBorder="1" applyAlignment="1">
      <alignment horizontal="center"/>
    </xf>
    <xf numFmtId="0" fontId="0" fillId="3" borderId="79" xfId="0" applyFill="1" applyBorder="1" applyAlignment="1">
      <alignment horizontal="center" vertical="center"/>
    </xf>
    <xf numFmtId="166" fontId="0" fillId="7" borderId="80" xfId="0" applyNumberFormat="1" applyFill="1" applyBorder="1" applyAlignment="1">
      <alignment horizontal="center" vertical="center"/>
    </xf>
    <xf numFmtId="0" fontId="3" fillId="6" borderId="81" xfId="0" applyFont="1" applyFill="1" applyBorder="1" applyAlignment="1">
      <alignment horizontal="left" vertical="center"/>
    </xf>
    <xf numFmtId="166" fontId="0" fillId="6" borderId="82" xfId="0" applyNumberFormat="1" applyFill="1" applyBorder="1" applyAlignment="1">
      <alignment horizontal="center" vertical="center"/>
    </xf>
    <xf numFmtId="0" fontId="5" fillId="6" borderId="39" xfId="0" applyFont="1" applyFill="1" applyBorder="1" applyAlignment="1">
      <alignment horizontal="left" vertical="center"/>
    </xf>
    <xf numFmtId="166" fontId="0" fillId="6" borderId="38" xfId="0" applyNumberFormat="1" applyFill="1" applyBorder="1" applyAlignment="1">
      <alignment horizontal="center" vertical="center"/>
    </xf>
    <xf numFmtId="0" fontId="87" fillId="5" borderId="60" xfId="0" applyFont="1" applyFill="1" applyBorder="1" applyAlignment="1">
      <alignment horizontal="center" vertical="center"/>
    </xf>
    <xf numFmtId="0" fontId="80" fillId="7" borderId="60" xfId="0" applyFont="1" applyFill="1" applyBorder="1" applyAlignment="1">
      <alignment horizontal="center" vertical="center"/>
    </xf>
    <xf numFmtId="0" fontId="80" fillId="7" borderId="1" xfId="0" applyFont="1" applyFill="1" applyBorder="1" applyAlignment="1">
      <alignment horizontal="center" vertical="center"/>
    </xf>
    <xf numFmtId="0" fontId="5" fillId="6" borderId="21" xfId="0" applyFont="1" applyFill="1" applyBorder="1" applyAlignment="1">
      <alignment horizontal="left" vertical="center"/>
    </xf>
    <xf numFmtId="0" fontId="0" fillId="6" borderId="2" xfId="0" applyFill="1" applyBorder="1" applyAlignment="1" applyProtection="1">
      <alignment horizontal="center" vertical="center"/>
      <protection hidden="1"/>
    </xf>
    <xf numFmtId="0" fontId="3" fillId="6" borderId="2" xfId="0" applyFont="1" applyFill="1" applyBorder="1" applyAlignment="1" applyProtection="1">
      <alignment horizontal="left" vertical="center"/>
      <protection hidden="1"/>
    </xf>
    <xf numFmtId="0" fontId="0" fillId="6" borderId="38" xfId="0" applyFill="1" applyBorder="1" applyAlignment="1" applyProtection="1">
      <alignment horizontal="center"/>
      <protection hidden="1"/>
    </xf>
    <xf numFmtId="0" fontId="0" fillId="7" borderId="44" xfId="0" applyFill="1" applyBorder="1" applyAlignment="1">
      <alignment horizontal="center" vertical="center" wrapText="1"/>
    </xf>
    <xf numFmtId="0" fontId="9" fillId="7" borderId="63" xfId="0" applyNumberFormat="1" applyFont="1" applyFill="1" applyBorder="1" applyAlignment="1">
      <alignment horizontal="center" vertical="center"/>
    </xf>
    <xf numFmtId="0" fontId="0" fillId="7" borderId="17" xfId="0" applyNumberFormat="1" applyFill="1" applyBorder="1" applyAlignment="1">
      <alignment horizontal="center" vertical="center"/>
    </xf>
    <xf numFmtId="0" fontId="0" fillId="6" borderId="4" xfId="0" applyFill="1" applyBorder="1" applyAlignment="1" applyProtection="1">
      <alignment horizontal="left" vertical="center"/>
      <protection hidden="1"/>
    </xf>
    <xf numFmtId="49" fontId="53" fillId="3" borderId="83" xfId="0" applyNumberFormat="1" applyFont="1" applyFill="1" applyBorder="1" applyAlignment="1">
      <alignment horizontal="center"/>
    </xf>
    <xf numFmtId="49" fontId="53" fillId="3" borderId="56" xfId="0" applyNumberFormat="1" applyFont="1" applyFill="1" applyBorder="1" applyAlignment="1">
      <alignment horizontal="center"/>
    </xf>
    <xf numFmtId="49" fontId="53" fillId="3" borderId="22" xfId="0" applyNumberFormat="1" applyFont="1" applyFill="1" applyBorder="1" applyAlignment="1">
      <alignment horizontal="center"/>
    </xf>
    <xf numFmtId="0" fontId="88" fillId="6" borderId="0" xfId="0" applyFont="1" applyFill="1" applyBorder="1" applyAlignment="1" applyProtection="1">
      <alignment horizontal="left" vertical="center"/>
      <protection hidden="1"/>
    </xf>
    <xf numFmtId="0" fontId="87" fillId="3" borderId="21" xfId="0" applyFont="1" applyFill="1" applyBorder="1" applyAlignment="1">
      <alignment horizontal="center" vertical="center"/>
    </xf>
    <xf numFmtId="0" fontId="80" fillId="4" borderId="60" xfId="0" applyFont="1" applyFill="1" applyBorder="1" applyAlignment="1">
      <alignment horizontal="center" vertical="center"/>
    </xf>
    <xf numFmtId="0" fontId="80" fillId="4" borderId="1" xfId="0" applyFont="1" applyFill="1" applyBorder="1" applyAlignment="1">
      <alignment horizontal="center" vertical="center"/>
    </xf>
    <xf numFmtId="166" fontId="0" fillId="3" borderId="2" xfId="0" applyNumberFormat="1" applyFill="1" applyBorder="1" applyAlignment="1">
      <alignment horizontal="center" vertical="center" wrapText="1"/>
    </xf>
    <xf numFmtId="166" fontId="3" fillId="3"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6" borderId="4" xfId="0" applyFont="1" applyFill="1" applyBorder="1" applyAlignment="1">
      <alignment horizontal="left" vertical="center"/>
    </xf>
    <xf numFmtId="0" fontId="80" fillId="2" borderId="0" xfId="0" applyFont="1" applyFill="1" applyAlignment="1">
      <alignment vertical="center"/>
    </xf>
    <xf numFmtId="0" fontId="0" fillId="3" borderId="14" xfId="0" applyFill="1" applyBorder="1" applyAlignment="1">
      <alignment horizontal="center" vertical="center" wrapText="1"/>
    </xf>
    <xf numFmtId="0" fontId="13" fillId="6" borderId="84" xfId="0" applyFont="1" applyFill="1" applyBorder="1" applyAlignment="1">
      <alignment horizontal="left" vertical="center"/>
    </xf>
    <xf numFmtId="0" fontId="13" fillId="6" borderId="4" xfId="0" applyFont="1" applyFill="1" applyBorder="1" applyAlignment="1" applyProtection="1">
      <alignment horizontal="left" vertical="center"/>
      <protection hidden="1"/>
    </xf>
    <xf numFmtId="0" fontId="92" fillId="2" borderId="0" xfId="1" applyFont="1" applyFill="1" applyAlignment="1" applyProtection="1"/>
    <xf numFmtId="0" fontId="93" fillId="2" borderId="0" xfId="1" applyFont="1" applyFill="1" applyAlignment="1" applyProtection="1"/>
    <xf numFmtId="0" fontId="88" fillId="2" borderId="0" xfId="0" applyFont="1" applyFill="1"/>
    <xf numFmtId="0" fontId="94" fillId="2" borderId="0" xfId="0" applyFont="1" applyFill="1"/>
    <xf numFmtId="0" fontId="88" fillId="5" borderId="0" xfId="0" applyFont="1" applyFill="1"/>
    <xf numFmtId="0" fontId="88" fillId="3" borderId="0" xfId="0" applyFont="1" applyFill="1"/>
    <xf numFmtId="0" fontId="24" fillId="3" borderId="0" xfId="0" applyFont="1" applyFill="1" applyAlignment="1">
      <alignment horizontal="left"/>
    </xf>
    <xf numFmtId="0" fontId="88" fillId="6" borderId="0" xfId="0" applyFont="1" applyFill="1"/>
    <xf numFmtId="49" fontId="17" fillId="4" borderId="0" xfId="0" applyNumberFormat="1" applyFont="1" applyFill="1"/>
    <xf numFmtId="0" fontId="88" fillId="4" borderId="0" xfId="0" applyFont="1" applyFill="1"/>
    <xf numFmtId="0" fontId="3" fillId="6" borderId="66" xfId="0" applyFont="1" applyFill="1" applyBorder="1" applyAlignment="1">
      <alignment horizontal="center" vertical="center" wrapText="1"/>
    </xf>
    <xf numFmtId="49" fontId="48" fillId="8" borderId="0" xfId="0" applyNumberFormat="1" applyFont="1" applyFill="1" applyBorder="1" applyAlignment="1">
      <alignment horizontal="left" vertical="center"/>
    </xf>
    <xf numFmtId="0" fontId="0" fillId="2" borderId="0" xfId="0" applyFill="1" applyBorder="1" applyAlignment="1">
      <alignment horizontal="left"/>
    </xf>
    <xf numFmtId="0" fontId="0" fillId="6" borderId="0" xfId="0" applyFill="1" applyAlignment="1">
      <alignment horizontal="center" vertical="center"/>
    </xf>
    <xf numFmtId="0" fontId="2" fillId="0" borderId="0" xfId="0" applyFont="1" applyAlignment="1">
      <alignment vertical="center"/>
    </xf>
    <xf numFmtId="0" fontId="0" fillId="6" borderId="0" xfId="0" applyFill="1" applyAlignment="1">
      <alignment horizontal="left" vertical="center"/>
    </xf>
    <xf numFmtId="0" fontId="3" fillId="6" borderId="0" xfId="0" applyFont="1" applyFill="1" applyAlignment="1">
      <alignment horizontal="left" vertical="center"/>
    </xf>
    <xf numFmtId="0" fontId="0" fillId="6" borderId="2" xfId="0" applyFill="1" applyBorder="1" applyAlignment="1">
      <alignment horizontal="center"/>
    </xf>
    <xf numFmtId="0" fontId="0" fillId="7" borderId="0" xfId="0" applyFill="1" applyAlignment="1">
      <alignment horizontal="center"/>
    </xf>
    <xf numFmtId="0" fontId="87" fillId="6" borderId="1" xfId="0" applyFont="1" applyFill="1" applyBorder="1" applyAlignment="1">
      <alignment horizontal="center" vertical="center"/>
    </xf>
    <xf numFmtId="0" fontId="2" fillId="0" borderId="0" xfId="0" applyFont="1" applyFill="1" applyAlignment="1">
      <alignment vertical="center"/>
    </xf>
    <xf numFmtId="0" fontId="0" fillId="0" borderId="0" xfId="0" applyFill="1" applyAlignment="1">
      <alignment vertical="center"/>
    </xf>
    <xf numFmtId="0" fontId="78" fillId="5" borderId="0" xfId="0" applyFont="1" applyFill="1" applyAlignment="1">
      <alignment horizontal="left" vertical="center"/>
    </xf>
    <xf numFmtId="0" fontId="0" fillId="5" borderId="0" xfId="0" applyFill="1" applyAlignment="1">
      <alignment horizontal="center" vertical="center"/>
    </xf>
    <xf numFmtId="0" fontId="0" fillId="5" borderId="0" xfId="0" applyFill="1" applyAlignment="1">
      <alignment horizontal="left"/>
    </xf>
    <xf numFmtId="0" fontId="5" fillId="5" borderId="0" xfId="0" applyFont="1" applyFill="1" applyAlignment="1">
      <alignment horizontal="left"/>
    </xf>
    <xf numFmtId="0" fontId="5" fillId="5" borderId="0" xfId="0" applyFont="1" applyFill="1" applyBorder="1" applyAlignment="1">
      <alignment horizontal="left"/>
    </xf>
    <xf numFmtId="0" fontId="0" fillId="5" borderId="0" xfId="0" applyFill="1" applyBorder="1" applyAlignment="1">
      <alignment horizontal="left"/>
    </xf>
    <xf numFmtId="0" fontId="0" fillId="7" borderId="0" xfId="0" applyNumberFormat="1" applyFill="1" applyAlignment="1">
      <alignment horizontal="center"/>
    </xf>
    <xf numFmtId="0" fontId="3" fillId="5" borderId="0" xfId="0" applyFont="1" applyFill="1" applyAlignment="1">
      <alignment horizontal="left" vertical="center"/>
    </xf>
    <xf numFmtId="0" fontId="13" fillId="6" borderId="2" xfId="0" applyFont="1" applyFill="1" applyBorder="1" applyAlignment="1">
      <alignment horizontal="left" vertical="center"/>
    </xf>
    <xf numFmtId="0" fontId="76" fillId="6" borderId="31" xfId="0" applyFont="1" applyFill="1" applyBorder="1" applyAlignment="1">
      <alignment horizontal="center"/>
    </xf>
    <xf numFmtId="0" fontId="46" fillId="6" borderId="85" xfId="0" applyFont="1" applyFill="1" applyBorder="1" applyAlignment="1">
      <alignment horizontal="center"/>
    </xf>
    <xf numFmtId="0" fontId="3" fillId="6" borderId="21" xfId="0" applyFont="1" applyFill="1" applyBorder="1" applyAlignment="1">
      <alignment horizontal="right" vertical="center"/>
    </xf>
    <xf numFmtId="0" fontId="0" fillId="3" borderId="86" xfId="0" applyFill="1" applyBorder="1"/>
    <xf numFmtId="0" fontId="0" fillId="3" borderId="87" xfId="0" applyFill="1" applyBorder="1"/>
    <xf numFmtId="0" fontId="0" fillId="3" borderId="88" xfId="0" applyFill="1" applyBorder="1" applyAlignment="1">
      <alignment horizontal="center"/>
    </xf>
    <xf numFmtId="0" fontId="0" fillId="3" borderId="32" xfId="0" applyFill="1" applyBorder="1" applyAlignment="1">
      <alignment horizontal="center"/>
    </xf>
    <xf numFmtId="0" fontId="48" fillId="8" borderId="0" xfId="0" applyFont="1" applyFill="1" applyAlignment="1">
      <alignment vertical="center"/>
    </xf>
    <xf numFmtId="0" fontId="3" fillId="6" borderId="37" xfId="0" applyFont="1" applyFill="1" applyBorder="1" applyAlignment="1">
      <alignment horizontal="center" vertical="center" wrapText="1"/>
    </xf>
    <xf numFmtId="166" fontId="0" fillId="5" borderId="17" xfId="2" applyNumberFormat="1" applyFont="1" applyFill="1" applyBorder="1" applyAlignment="1">
      <alignment horizontal="center" vertical="center"/>
    </xf>
    <xf numFmtId="166" fontId="0" fillId="5" borderId="64" xfId="2" applyNumberFormat="1" applyFont="1" applyFill="1" applyBorder="1" applyAlignment="1">
      <alignment horizontal="center" vertical="center"/>
    </xf>
    <xf numFmtId="0" fontId="0" fillId="2" borderId="0" xfId="0" applyFill="1" applyBorder="1" applyAlignment="1">
      <alignment horizontal="left" vertical="center"/>
    </xf>
    <xf numFmtId="0" fontId="3" fillId="2" borderId="4" xfId="0" applyFont="1" applyFill="1" applyBorder="1" applyAlignment="1">
      <alignment horizontal="left" vertical="center"/>
    </xf>
    <xf numFmtId="166" fontId="0" fillId="2" borderId="0" xfId="0" applyNumberFormat="1" applyFill="1" applyBorder="1" applyAlignment="1">
      <alignment horizontal="center" vertical="center"/>
    </xf>
    <xf numFmtId="0" fontId="6" fillId="5" borderId="63" xfId="0" applyNumberFormat="1" applyFont="1" applyFill="1" applyBorder="1" applyAlignment="1">
      <alignment horizontal="center" vertical="center" wrapText="1"/>
    </xf>
    <xf numFmtId="0" fontId="0" fillId="2" borderId="27" xfId="0" applyFill="1" applyBorder="1" applyAlignment="1">
      <alignment vertical="center"/>
    </xf>
    <xf numFmtId="167" fontId="0" fillId="2" borderId="27" xfId="0" applyNumberFormat="1" applyFill="1" applyBorder="1" applyAlignment="1">
      <alignment horizontal="center" vertical="center"/>
    </xf>
    <xf numFmtId="166" fontId="0" fillId="2" borderId="27" xfId="2" applyNumberFormat="1" applyFont="1" applyFill="1" applyBorder="1" applyAlignment="1">
      <alignment horizontal="center" vertical="center"/>
    </xf>
    <xf numFmtId="0" fontId="32" fillId="2" borderId="81" xfId="0" applyFont="1" applyFill="1" applyBorder="1"/>
    <xf numFmtId="0" fontId="0" fillId="2" borderId="27" xfId="0" applyFill="1" applyBorder="1" applyAlignment="1" applyProtection="1">
      <alignment vertical="center"/>
      <protection hidden="1"/>
    </xf>
    <xf numFmtId="0" fontId="0" fillId="2" borderId="81" xfId="0" applyFill="1" applyBorder="1" applyAlignment="1" applyProtection="1">
      <alignment vertical="center"/>
      <protection hidden="1"/>
    </xf>
    <xf numFmtId="0" fontId="3" fillId="3" borderId="89" xfId="0" applyFont="1" applyFill="1" applyBorder="1" applyAlignment="1">
      <alignment horizontal="center" vertical="center" wrapText="1"/>
    </xf>
    <xf numFmtId="0" fontId="0" fillId="3" borderId="90" xfId="0" applyFill="1" applyBorder="1" applyAlignment="1">
      <alignment horizontal="right" vertical="center"/>
    </xf>
    <xf numFmtId="0" fontId="0" fillId="3" borderId="91" xfId="0" applyFill="1" applyBorder="1" applyAlignment="1">
      <alignment horizontal="right" vertical="center"/>
    </xf>
    <xf numFmtId="0" fontId="3" fillId="6" borderId="92" xfId="0" applyFont="1" applyFill="1" applyBorder="1" applyAlignment="1">
      <alignment horizontal="center" vertical="center"/>
    </xf>
    <xf numFmtId="0" fontId="3" fillId="6" borderId="93" xfId="0" applyFont="1" applyFill="1" applyBorder="1" applyAlignment="1">
      <alignment horizontal="center" vertical="center"/>
    </xf>
    <xf numFmtId="0" fontId="3" fillId="6" borderId="94" xfId="0" applyFont="1" applyFill="1" applyBorder="1" applyAlignment="1">
      <alignment horizontal="center" vertical="center" wrapText="1"/>
    </xf>
    <xf numFmtId="0" fontId="3" fillId="6" borderId="95" xfId="0" applyFont="1" applyFill="1" applyBorder="1" applyAlignment="1">
      <alignment horizontal="left" vertical="center"/>
    </xf>
    <xf numFmtId="0" fontId="3" fillId="6" borderId="94" xfId="0" applyFont="1" applyFill="1" applyBorder="1" applyAlignment="1">
      <alignment vertical="center"/>
    </xf>
    <xf numFmtId="0" fontId="3" fillId="3" borderId="4" xfId="0" applyFont="1" applyFill="1" applyBorder="1" applyAlignment="1">
      <alignment horizontal="left" vertical="center"/>
    </xf>
    <xf numFmtId="0" fontId="83" fillId="3" borderId="31" xfId="0" applyFont="1" applyFill="1" applyBorder="1" applyAlignment="1">
      <alignment horizontal="center"/>
    </xf>
    <xf numFmtId="0" fontId="99" fillId="3" borderId="31" xfId="0" applyFont="1" applyFill="1" applyBorder="1" applyAlignment="1">
      <alignment horizontal="center"/>
    </xf>
    <xf numFmtId="0" fontId="100" fillId="3" borderId="31" xfId="0" applyFont="1" applyFill="1" applyBorder="1" applyAlignment="1">
      <alignment horizontal="center"/>
    </xf>
    <xf numFmtId="0" fontId="101" fillId="3" borderId="31" xfId="0" applyFont="1" applyFill="1" applyBorder="1" applyAlignment="1">
      <alignment horizontal="center"/>
    </xf>
    <xf numFmtId="0" fontId="102" fillId="3" borderId="31" xfId="0" applyFont="1" applyFill="1" applyBorder="1" applyAlignment="1">
      <alignment horizontal="center"/>
    </xf>
    <xf numFmtId="0" fontId="103" fillId="3" borderId="31" xfId="0" applyFont="1" applyFill="1" applyBorder="1" applyAlignment="1">
      <alignment horizontal="center"/>
    </xf>
    <xf numFmtId="0" fontId="104" fillId="3" borderId="31" xfId="0" applyFont="1" applyFill="1" applyBorder="1" applyAlignment="1">
      <alignment horizontal="center"/>
    </xf>
    <xf numFmtId="0" fontId="17" fillId="6" borderId="96" xfId="0" applyFont="1" applyFill="1" applyBorder="1" applyAlignment="1">
      <alignment horizontal="left" vertical="center"/>
    </xf>
    <xf numFmtId="0" fontId="3" fillId="6" borderId="0" xfId="0" applyFont="1" applyFill="1" applyBorder="1" applyAlignment="1" applyProtection="1">
      <alignment horizontal="center" vertical="center"/>
      <protection hidden="1"/>
    </xf>
    <xf numFmtId="0" fontId="0" fillId="3" borderId="9" xfId="0" applyFill="1" applyBorder="1" applyAlignment="1">
      <alignment horizontal="center"/>
    </xf>
    <xf numFmtId="0" fontId="0" fillId="3" borderId="27" xfId="0" applyFill="1" applyBorder="1" applyAlignment="1">
      <alignment vertical="center"/>
    </xf>
    <xf numFmtId="0" fontId="0" fillId="3" borderId="9" xfId="0" applyFill="1" applyBorder="1"/>
    <xf numFmtId="0" fontId="4" fillId="3" borderId="97" xfId="0" applyFont="1" applyFill="1" applyBorder="1" applyAlignment="1">
      <alignment horizontal="left" vertical="center"/>
    </xf>
    <xf numFmtId="0" fontId="4" fillId="3" borderId="36" xfId="0" applyFont="1" applyFill="1" applyBorder="1" applyAlignment="1">
      <alignment horizontal="left" vertical="center"/>
    </xf>
    <xf numFmtId="0" fontId="4" fillId="3" borderId="36" xfId="0" applyFont="1" applyFill="1" applyBorder="1" applyAlignment="1">
      <alignment vertical="center"/>
    </xf>
    <xf numFmtId="0" fontId="36" fillId="8" borderId="4" xfId="0" applyFont="1" applyFill="1" applyBorder="1" applyAlignment="1">
      <alignment vertical="center"/>
    </xf>
    <xf numFmtId="0" fontId="47" fillId="6" borderId="2" xfId="0" applyFont="1" applyFill="1" applyBorder="1" applyAlignment="1">
      <alignment horizontal="left" vertical="center"/>
    </xf>
    <xf numFmtId="0" fontId="37" fillId="8" borderId="9" xfId="0" applyFont="1" applyFill="1" applyBorder="1" applyAlignment="1">
      <alignment vertical="center"/>
    </xf>
    <xf numFmtId="0" fontId="13" fillId="6" borderId="78" xfId="0" applyFont="1" applyFill="1" applyBorder="1" applyAlignment="1" applyProtection="1">
      <alignment horizontal="left" vertical="center"/>
      <protection hidden="1"/>
    </xf>
    <xf numFmtId="0" fontId="0" fillId="6" borderId="0" xfId="0" applyFill="1" applyBorder="1" applyAlignment="1" applyProtection="1">
      <alignment horizontal="center"/>
      <protection hidden="1"/>
    </xf>
    <xf numFmtId="0" fontId="0" fillId="6" borderId="9" xfId="0" applyFill="1" applyBorder="1" applyAlignment="1" applyProtection="1">
      <alignment horizontal="center"/>
      <protection hidden="1"/>
    </xf>
    <xf numFmtId="0" fontId="36" fillId="8" borderId="0" xfId="0" applyFont="1" applyFill="1" applyBorder="1" applyAlignment="1">
      <alignment horizontal="left" vertical="center"/>
    </xf>
    <xf numFmtId="0" fontId="48" fillId="8" borderId="0" xfId="0" applyFont="1" applyFill="1" applyBorder="1" applyAlignment="1">
      <alignment horizontal="left" vertical="center"/>
    </xf>
    <xf numFmtId="165" fontId="37" fillId="8" borderId="0" xfId="0" applyNumberFormat="1" applyFont="1" applyFill="1" applyBorder="1" applyAlignment="1">
      <alignment horizontal="center" vertical="center"/>
    </xf>
    <xf numFmtId="0" fontId="37" fillId="8" borderId="0" xfId="0" applyFont="1" applyFill="1" applyBorder="1"/>
    <xf numFmtId="0" fontId="36" fillId="8" borderId="0" xfId="0" applyFont="1" applyFill="1" applyBorder="1"/>
    <xf numFmtId="0" fontId="10" fillId="8" borderId="0" xfId="0" applyFont="1" applyFill="1" applyBorder="1" applyAlignment="1">
      <alignment horizontal="left"/>
    </xf>
    <xf numFmtId="0" fontId="106" fillId="8" borderId="0" xfId="0" applyFont="1" applyFill="1" applyBorder="1" applyAlignment="1">
      <alignment vertical="center"/>
    </xf>
    <xf numFmtId="0" fontId="0" fillId="5" borderId="29" xfId="0" applyFill="1" applyBorder="1"/>
    <xf numFmtId="0" fontId="5" fillId="5" borderId="88" xfId="0" applyFont="1" applyFill="1" applyBorder="1"/>
    <xf numFmtId="0" fontId="0" fillId="5" borderId="2" xfId="0" applyFill="1" applyBorder="1"/>
    <xf numFmtId="0" fontId="0" fillId="5" borderId="32" xfId="0" applyFill="1" applyBorder="1"/>
    <xf numFmtId="0" fontId="3" fillId="6" borderId="86" xfId="0" applyFont="1" applyFill="1" applyBorder="1"/>
    <xf numFmtId="0" fontId="0" fillId="6" borderId="31" xfId="0" applyFill="1" applyBorder="1"/>
    <xf numFmtId="0" fontId="0" fillId="6" borderId="87" xfId="0" applyFill="1" applyBorder="1"/>
    <xf numFmtId="0" fontId="5" fillId="5" borderId="0" xfId="0" applyFont="1" applyFill="1" applyBorder="1" applyAlignment="1" applyProtection="1">
      <alignment horizontal="left"/>
      <protection hidden="1"/>
    </xf>
    <xf numFmtId="166" fontId="5" fillId="3" borderId="31" xfId="0" applyNumberFormat="1" applyFont="1" applyFill="1" applyBorder="1" applyAlignment="1">
      <alignment horizontal="center"/>
    </xf>
    <xf numFmtId="165" fontId="5" fillId="7" borderId="4" xfId="0" applyNumberFormat="1" applyFont="1" applyFill="1" applyBorder="1" applyAlignment="1">
      <alignment horizontal="center" vertical="center"/>
    </xf>
    <xf numFmtId="0" fontId="13" fillId="6" borderId="2" xfId="0" applyFont="1" applyFill="1" applyBorder="1" applyAlignment="1">
      <alignment horizontal="right" vertical="center"/>
    </xf>
    <xf numFmtId="11" fontId="0" fillId="5" borderId="0" xfId="0" applyNumberFormat="1" applyFill="1" applyBorder="1" applyAlignment="1" applyProtection="1">
      <alignment horizontal="center" vertical="center"/>
      <protection hidden="1"/>
    </xf>
    <xf numFmtId="11" fontId="0" fillId="5" borderId="31" xfId="0" applyNumberFormat="1" applyFill="1" applyBorder="1" applyAlignment="1" applyProtection="1">
      <alignment horizontal="center" vertical="center"/>
      <protection hidden="1"/>
    </xf>
    <xf numFmtId="11" fontId="0" fillId="5" borderId="45" xfId="0" applyNumberFormat="1" applyFill="1" applyBorder="1" applyAlignment="1" applyProtection="1">
      <alignment horizontal="center" vertical="center"/>
      <protection hidden="1"/>
    </xf>
    <xf numFmtId="0" fontId="0" fillId="3" borderId="82" xfId="0" applyFill="1" applyBorder="1" applyAlignment="1">
      <alignment horizontal="center" vertical="center"/>
    </xf>
    <xf numFmtId="0" fontId="0" fillId="6" borderId="98" xfId="0" applyFill="1" applyBorder="1" applyAlignment="1">
      <alignment vertical="center"/>
    </xf>
    <xf numFmtId="0" fontId="0" fillId="6" borderId="27" xfId="0" applyFill="1" applyBorder="1" applyAlignment="1">
      <alignment vertical="center"/>
    </xf>
    <xf numFmtId="0" fontId="0" fillId="6" borderId="82" xfId="0" applyFill="1" applyBorder="1" applyAlignment="1">
      <alignment vertical="center"/>
    </xf>
    <xf numFmtId="0" fontId="81" fillId="6" borderId="0" xfId="0" applyFont="1" applyFill="1" applyBorder="1" applyAlignment="1" applyProtection="1">
      <alignment horizontal="left" vertical="center"/>
      <protection hidden="1"/>
    </xf>
    <xf numFmtId="0" fontId="53" fillId="3" borderId="31" xfId="0" applyFont="1" applyFill="1" applyBorder="1" applyAlignment="1">
      <alignment horizontal="center" vertical="center"/>
    </xf>
    <xf numFmtId="0" fontId="111" fillId="3" borderId="31" xfId="0" applyFont="1" applyFill="1" applyBorder="1" applyAlignment="1">
      <alignment horizontal="center"/>
    </xf>
    <xf numFmtId="0" fontId="111" fillId="3" borderId="31" xfId="0" applyFont="1" applyFill="1" applyBorder="1" applyAlignment="1">
      <alignment horizontal="center" vertical="center"/>
    </xf>
    <xf numFmtId="1" fontId="30" fillId="3" borderId="2" xfId="0" applyNumberFormat="1" applyFont="1" applyFill="1" applyBorder="1" applyAlignment="1">
      <alignment horizontal="center" vertical="center" wrapText="1"/>
    </xf>
    <xf numFmtId="0" fontId="5" fillId="3" borderId="0" xfId="0" applyFont="1" applyFill="1" applyBorder="1"/>
    <xf numFmtId="11" fontId="5" fillId="2" borderId="0" xfId="0" applyNumberFormat="1" applyFont="1" applyFill="1"/>
    <xf numFmtId="2" fontId="0" fillId="3" borderId="0" xfId="0" applyNumberFormat="1" applyFill="1" applyAlignment="1">
      <alignment horizontal="center"/>
    </xf>
    <xf numFmtId="0" fontId="3" fillId="3" borderId="2" xfId="0" applyFont="1" applyFill="1" applyBorder="1" applyAlignment="1">
      <alignment horizontal="center" vertical="justify" wrapText="1"/>
    </xf>
    <xf numFmtId="0" fontId="3" fillId="3" borderId="31" xfId="0" applyFont="1" applyFill="1" applyBorder="1" applyAlignment="1">
      <alignment horizontal="center" vertical="center"/>
    </xf>
    <xf numFmtId="0" fontId="5" fillId="2" borderId="0" xfId="0" applyFont="1" applyFill="1"/>
    <xf numFmtId="166" fontId="5" fillId="6" borderId="26" xfId="0" applyNumberFormat="1" applyFont="1" applyFill="1" applyBorder="1" applyAlignment="1">
      <alignment horizontal="center" vertical="center"/>
    </xf>
    <xf numFmtId="0" fontId="24" fillId="6" borderId="26" xfId="0" applyFont="1" applyFill="1" applyBorder="1" applyAlignment="1">
      <alignment horizontal="center"/>
    </xf>
    <xf numFmtId="168" fontId="0" fillId="5" borderId="0" xfId="0" applyNumberFormat="1" applyFill="1"/>
    <xf numFmtId="0" fontId="2" fillId="3" borderId="43" xfId="0" applyFont="1" applyFill="1" applyBorder="1" applyAlignment="1">
      <alignment horizontal="center" vertical="center" wrapText="1"/>
    </xf>
    <xf numFmtId="0" fontId="2" fillId="3" borderId="76" xfId="0" applyFont="1" applyFill="1" applyBorder="1" applyAlignment="1">
      <alignment horizontal="center" vertical="center" wrapText="1"/>
    </xf>
    <xf numFmtId="49" fontId="53" fillId="3" borderId="79" xfId="0" applyNumberFormat="1" applyFont="1" applyFill="1" applyBorder="1" applyAlignment="1">
      <alignment horizontal="center"/>
    </xf>
    <xf numFmtId="0" fontId="13" fillId="6" borderId="20" xfId="0" applyFont="1" applyFill="1" applyBorder="1" applyAlignment="1" applyProtection="1">
      <alignment horizontal="left" vertical="center"/>
      <protection hidden="1"/>
    </xf>
    <xf numFmtId="11" fontId="0" fillId="5" borderId="99" xfId="0" applyNumberFormat="1" applyFill="1" applyBorder="1" applyAlignment="1" applyProtection="1">
      <alignment horizontal="center" vertical="center"/>
      <protection hidden="1"/>
    </xf>
    <xf numFmtId="49" fontId="53" fillId="3" borderId="56" xfId="0" applyNumberFormat="1" applyFont="1" applyFill="1" applyBorder="1" applyAlignment="1">
      <alignment horizontal="center" vertical="top"/>
    </xf>
    <xf numFmtId="49" fontId="53" fillId="3" borderId="42" xfId="0" applyNumberFormat="1" applyFont="1" applyFill="1" applyBorder="1" applyAlignment="1">
      <alignment horizontal="center"/>
    </xf>
    <xf numFmtId="0" fontId="4" fillId="3" borderId="100" xfId="0" applyFont="1" applyFill="1" applyBorder="1" applyAlignment="1">
      <alignment horizontal="center"/>
    </xf>
    <xf numFmtId="0" fontId="4" fillId="3" borderId="101" xfId="0" applyFont="1" applyFill="1" applyBorder="1" applyAlignment="1">
      <alignment horizontal="center" vertical="center"/>
    </xf>
    <xf numFmtId="0" fontId="5" fillId="3" borderId="102" xfId="0" applyFont="1" applyFill="1" applyBorder="1" applyAlignment="1">
      <alignment horizontal="center"/>
    </xf>
    <xf numFmtId="0" fontId="5" fillId="3" borderId="14" xfId="0" applyFont="1" applyFill="1" applyBorder="1" applyAlignment="1">
      <alignment horizontal="centerContinuous"/>
    </xf>
    <xf numFmtId="0" fontId="5" fillId="3" borderId="101" xfId="0" applyFont="1" applyFill="1" applyBorder="1" applyAlignment="1">
      <alignment horizontal="centerContinuous"/>
    </xf>
    <xf numFmtId="0" fontId="5" fillId="3" borderId="16" xfId="0" applyFont="1" applyFill="1" applyBorder="1" applyAlignment="1">
      <alignment horizontal="centerContinuous"/>
    </xf>
    <xf numFmtId="0" fontId="5" fillId="3" borderId="37" xfId="0" applyFont="1" applyFill="1" applyBorder="1" applyAlignment="1">
      <alignment horizontal="centerContinuous"/>
    </xf>
    <xf numFmtId="0" fontId="5" fillId="3" borderId="102" xfId="0" applyFont="1" applyFill="1" applyBorder="1" applyAlignment="1">
      <alignment horizontal="centerContinuous"/>
    </xf>
    <xf numFmtId="168" fontId="0" fillId="5" borderId="103" xfId="0" applyNumberFormat="1" applyFill="1" applyBorder="1" applyAlignment="1">
      <alignment horizontal="center" vertical="center"/>
    </xf>
    <xf numFmtId="168" fontId="0" fillId="5" borderId="64" xfId="0" applyNumberFormat="1" applyFill="1" applyBorder="1" applyAlignment="1">
      <alignment horizontal="center" vertical="center"/>
    </xf>
    <xf numFmtId="168" fontId="0" fillId="5" borderId="104" xfId="0" applyNumberFormat="1" applyFill="1" applyBorder="1" applyAlignment="1">
      <alignment horizontal="center" vertical="center"/>
    </xf>
    <xf numFmtId="168" fontId="0" fillId="5" borderId="105" xfId="0" applyNumberFormat="1" applyFill="1" applyBorder="1" applyAlignment="1">
      <alignment horizontal="center" vertical="center"/>
    </xf>
    <xf numFmtId="168" fontId="0" fillId="5" borderId="99" xfId="0" applyNumberFormat="1" applyFill="1" applyBorder="1" applyAlignment="1">
      <alignment horizontal="center" vertical="center"/>
    </xf>
    <xf numFmtId="1" fontId="0" fillId="0" borderId="106" xfId="0" applyNumberFormat="1" applyFill="1" applyBorder="1" applyAlignment="1">
      <alignment horizontal="center" vertical="center"/>
    </xf>
    <xf numFmtId="1" fontId="0" fillId="0" borderId="38" xfId="0" applyNumberFormat="1" applyFill="1" applyBorder="1" applyAlignment="1">
      <alignment horizontal="center" vertical="center"/>
    </xf>
    <xf numFmtId="168" fontId="0" fillId="5" borderId="107" xfId="0" applyNumberFormat="1" applyFill="1" applyBorder="1" applyAlignment="1">
      <alignment horizontal="center" vertical="center"/>
    </xf>
    <xf numFmtId="0" fontId="5" fillId="6" borderId="20" xfId="0" applyFont="1" applyFill="1" applyBorder="1" applyAlignment="1">
      <alignment vertical="center"/>
    </xf>
    <xf numFmtId="0" fontId="0" fillId="6" borderId="108" xfId="0" applyFill="1" applyBorder="1" applyAlignment="1">
      <alignment vertical="center"/>
    </xf>
    <xf numFmtId="0" fontId="3" fillId="6" borderId="109" xfId="0" applyFont="1" applyFill="1" applyBorder="1" applyAlignment="1">
      <alignment horizontal="center" vertical="center"/>
    </xf>
    <xf numFmtId="0" fontId="3" fillId="6" borderId="28" xfId="0" applyFont="1" applyFill="1" applyBorder="1" applyAlignment="1">
      <alignment horizontal="center" vertical="center"/>
    </xf>
    <xf numFmtId="0" fontId="5" fillId="3" borderId="103" xfId="0" applyFont="1" applyFill="1" applyBorder="1" applyAlignment="1">
      <alignment horizontal="centerContinuous"/>
    </xf>
    <xf numFmtId="1" fontId="114" fillId="2" borderId="0" xfId="0" applyNumberFormat="1" applyFont="1" applyFill="1" applyAlignment="1">
      <alignment horizontal="center" vertical="center"/>
    </xf>
    <xf numFmtId="168" fontId="0" fillId="2" borderId="0" xfId="0" applyNumberFormat="1" applyFill="1" applyBorder="1" applyAlignment="1">
      <alignment horizontal="center"/>
    </xf>
    <xf numFmtId="0" fontId="5" fillId="2" borderId="0" xfId="0" applyFont="1" applyFill="1" applyAlignment="1">
      <alignment horizontal="right"/>
    </xf>
    <xf numFmtId="168" fontId="0" fillId="5" borderId="0" xfId="0" applyNumberFormat="1" applyFill="1" applyBorder="1" applyAlignment="1">
      <alignment horizontal="center" vertical="center"/>
    </xf>
    <xf numFmtId="0" fontId="4" fillId="3" borderId="110" xfId="0" applyFont="1" applyFill="1" applyBorder="1" applyAlignment="1">
      <alignment horizontal="centerContinuous" vertical="center"/>
    </xf>
    <xf numFmtId="0" fontId="4" fillId="3" borderId="111" xfId="0" applyFont="1" applyFill="1" applyBorder="1" applyAlignment="1">
      <alignment horizontal="centerContinuous" vertical="center"/>
    </xf>
    <xf numFmtId="168" fontId="0" fillId="5" borderId="46" xfId="0" applyNumberFormat="1" applyFill="1" applyBorder="1" applyAlignment="1">
      <alignment horizontal="center"/>
    </xf>
    <xf numFmtId="0" fontId="5" fillId="3" borderId="102" xfId="0" applyFont="1" applyFill="1" applyBorder="1" applyAlignment="1">
      <alignment horizontal="center" vertical="distributed"/>
    </xf>
    <xf numFmtId="168" fontId="0" fillId="0" borderId="104" xfId="0" applyNumberFormat="1" applyFill="1" applyBorder="1" applyAlignment="1">
      <alignment horizontal="center" vertical="center"/>
    </xf>
    <xf numFmtId="168" fontId="0" fillId="0" borderId="9" xfId="0" applyNumberFormat="1" applyFill="1" applyBorder="1" applyAlignment="1">
      <alignment horizontal="center" vertical="center"/>
    </xf>
    <xf numFmtId="168" fontId="0" fillId="0" borderId="107" xfId="0" applyNumberFormat="1" applyFill="1" applyBorder="1" applyAlignment="1">
      <alignment horizontal="center" vertical="center"/>
    </xf>
    <xf numFmtId="0" fontId="46" fillId="2" borderId="0" xfId="0" applyFont="1" applyFill="1" applyAlignment="1">
      <alignment vertical="center"/>
    </xf>
    <xf numFmtId="166" fontId="116" fillId="7" borderId="0" xfId="2" applyNumberFormat="1" applyFont="1" applyFill="1" applyBorder="1" applyAlignment="1">
      <alignment horizontal="center" vertical="center"/>
    </xf>
    <xf numFmtId="166" fontId="116" fillId="9" borderId="0" xfId="2" applyNumberFormat="1" applyFont="1" applyFill="1" applyBorder="1" applyAlignment="1">
      <alignment horizontal="center" vertical="center"/>
    </xf>
    <xf numFmtId="166" fontId="0" fillId="7" borderId="112" xfId="2" applyNumberFormat="1" applyFont="1" applyFill="1" applyBorder="1" applyAlignment="1">
      <alignment horizontal="center" vertical="center"/>
    </xf>
    <xf numFmtId="0" fontId="0" fillId="3" borderId="113" xfId="0" applyFill="1" applyBorder="1" applyAlignment="1">
      <alignment horizontal="center" vertical="center"/>
    </xf>
    <xf numFmtId="0" fontId="0" fillId="3" borderId="114" xfId="0" applyFill="1" applyBorder="1" applyAlignment="1">
      <alignment horizontal="center" vertical="center"/>
    </xf>
    <xf numFmtId="167" fontId="0" fillId="5" borderId="46" xfId="0" applyNumberFormat="1" applyFill="1" applyBorder="1" applyAlignment="1">
      <alignment horizontal="center"/>
    </xf>
    <xf numFmtId="167" fontId="0" fillId="5" borderId="115" xfId="0" applyNumberFormat="1" applyFill="1" applyBorder="1" applyAlignment="1">
      <alignment horizontal="center"/>
    </xf>
    <xf numFmtId="168" fontId="0" fillId="5" borderId="97" xfId="0" applyNumberFormat="1" applyFill="1" applyBorder="1" applyAlignment="1">
      <alignment horizontal="center"/>
    </xf>
    <xf numFmtId="168" fontId="0" fillId="5" borderId="27" xfId="0" applyNumberFormat="1" applyFill="1" applyBorder="1" applyAlignment="1">
      <alignment horizontal="center"/>
    </xf>
    <xf numFmtId="168" fontId="0" fillId="5" borderId="116" xfId="0" applyNumberFormat="1" applyFill="1" applyBorder="1" applyAlignment="1">
      <alignment horizontal="center"/>
    </xf>
    <xf numFmtId="168" fontId="0" fillId="5" borderId="72" xfId="0" applyNumberFormat="1" applyFill="1" applyBorder="1" applyAlignment="1">
      <alignment horizontal="center"/>
    </xf>
    <xf numFmtId="168" fontId="0" fillId="5" borderId="45" xfId="0" applyNumberFormat="1" applyFill="1" applyBorder="1" applyAlignment="1">
      <alignment horizontal="center"/>
    </xf>
    <xf numFmtId="168" fontId="0" fillId="5" borderId="74" xfId="0" applyNumberFormat="1" applyFill="1" applyBorder="1" applyAlignment="1">
      <alignment horizontal="center"/>
    </xf>
    <xf numFmtId="11" fontId="0" fillId="5" borderId="117" xfId="0" applyNumberFormat="1" applyFill="1" applyBorder="1" applyAlignment="1" applyProtection="1">
      <alignment horizontal="center" vertical="center"/>
      <protection hidden="1"/>
    </xf>
    <xf numFmtId="168" fontId="0" fillId="5" borderId="3" xfId="0" applyNumberFormat="1" applyFill="1" applyBorder="1" applyAlignment="1">
      <alignment horizontal="center"/>
    </xf>
    <xf numFmtId="168" fontId="0" fillId="5" borderId="82" xfId="0" applyNumberFormat="1" applyFill="1" applyBorder="1" applyAlignment="1">
      <alignment horizontal="center"/>
    </xf>
    <xf numFmtId="168" fontId="0" fillId="5" borderId="118" xfId="0" applyNumberFormat="1" applyFill="1" applyBorder="1" applyAlignment="1">
      <alignment horizontal="center"/>
    </xf>
    <xf numFmtId="171" fontId="0" fillId="5" borderId="99" xfId="0" applyNumberFormat="1" applyFill="1" applyBorder="1" applyAlignment="1">
      <alignment horizontal="center" vertical="center"/>
    </xf>
    <xf numFmtId="166" fontId="0" fillId="5" borderId="46" xfId="0" applyNumberFormat="1" applyFill="1" applyBorder="1" applyAlignment="1">
      <alignment horizontal="center" vertical="center"/>
    </xf>
    <xf numFmtId="0" fontId="5" fillId="3" borderId="102" xfId="0" applyFont="1" applyFill="1" applyBorder="1" applyAlignment="1">
      <alignment horizontal="centerContinuous" vertical="center"/>
    </xf>
    <xf numFmtId="168" fontId="0" fillId="5" borderId="119" xfId="0" applyNumberFormat="1" applyFill="1" applyBorder="1" applyAlignment="1">
      <alignment horizontal="center" vertical="center"/>
    </xf>
    <xf numFmtId="0" fontId="5" fillId="3" borderId="100" xfId="0" applyFont="1" applyFill="1" applyBorder="1" applyAlignment="1">
      <alignment horizontal="centerContinuous" vertical="center"/>
    </xf>
    <xf numFmtId="166" fontId="0" fillId="5" borderId="120" xfId="0" applyNumberFormat="1" applyFill="1" applyBorder="1" applyAlignment="1">
      <alignment horizontal="center" vertical="center"/>
    </xf>
    <xf numFmtId="171" fontId="0" fillId="5" borderId="105" xfId="0" applyNumberFormat="1" applyFill="1" applyBorder="1" applyAlignment="1">
      <alignment horizontal="center" vertical="center"/>
    </xf>
    <xf numFmtId="0" fontId="5" fillId="3" borderId="121" xfId="0" applyFont="1" applyFill="1" applyBorder="1" applyAlignment="1">
      <alignment horizontal="center" vertical="distributed"/>
    </xf>
    <xf numFmtId="165" fontId="0" fillId="0" borderId="0" xfId="0" applyNumberFormat="1" applyFill="1" applyAlignment="1">
      <alignment horizontal="center"/>
    </xf>
    <xf numFmtId="0" fontId="5" fillId="3" borderId="100" xfId="0" applyFont="1" applyFill="1" applyBorder="1" applyAlignment="1">
      <alignment horizontal="centerContinuous" vertical="top"/>
    </xf>
    <xf numFmtId="171" fontId="0" fillId="5" borderId="103" xfId="0" applyNumberFormat="1" applyFill="1" applyBorder="1" applyAlignment="1">
      <alignment horizontal="center" vertical="center"/>
    </xf>
    <xf numFmtId="171" fontId="0" fillId="5" borderId="12" xfId="0" applyNumberFormat="1" applyFill="1" applyBorder="1" applyAlignment="1">
      <alignment horizontal="center" vertical="center"/>
    </xf>
    <xf numFmtId="168" fontId="5" fillId="6" borderId="2" xfId="0" applyNumberFormat="1" applyFont="1" applyFill="1" applyBorder="1" applyAlignment="1">
      <alignment horizontal="center" vertical="center"/>
    </xf>
    <xf numFmtId="171" fontId="0" fillId="2" borderId="0" xfId="0" applyNumberFormat="1" applyFill="1" applyBorder="1"/>
    <xf numFmtId="0" fontId="4" fillId="3" borderId="100" xfId="0" applyFont="1" applyFill="1" applyBorder="1" applyAlignment="1">
      <alignment horizontal="centerContinuous" vertical="center"/>
    </xf>
    <xf numFmtId="0" fontId="71" fillId="8" borderId="0" xfId="0" applyFont="1" applyFill="1" applyBorder="1" applyAlignment="1">
      <alignment horizontal="left" vertical="center"/>
    </xf>
    <xf numFmtId="0" fontId="71" fillId="8" borderId="45" xfId="0" applyFont="1" applyFill="1" applyBorder="1" applyAlignment="1">
      <alignment horizontal="left" vertical="center"/>
    </xf>
    <xf numFmtId="166" fontId="0" fillId="5" borderId="105" xfId="0" applyNumberFormat="1" applyFill="1" applyBorder="1" applyAlignment="1">
      <alignment horizontal="center" vertical="center"/>
    </xf>
    <xf numFmtId="166" fontId="0" fillId="5" borderId="99" xfId="0" applyNumberFormat="1" applyFill="1" applyBorder="1" applyAlignment="1">
      <alignment horizontal="center" vertical="center"/>
    </xf>
    <xf numFmtId="168" fontId="0" fillId="5" borderId="122" xfId="0" applyNumberFormat="1" applyFill="1" applyBorder="1" applyAlignment="1">
      <alignment horizontal="center"/>
    </xf>
    <xf numFmtId="10" fontId="5" fillId="7" borderId="96" xfId="0" applyNumberFormat="1" applyFont="1" applyFill="1" applyBorder="1" applyAlignment="1">
      <alignment horizontal="center" vertical="center"/>
    </xf>
    <xf numFmtId="0" fontId="4" fillId="3" borderId="56" xfId="0" applyFont="1" applyFill="1" applyBorder="1" applyAlignment="1">
      <alignment horizontal="center"/>
    </xf>
    <xf numFmtId="0" fontId="4" fillId="3" borderId="123" xfId="0" applyFont="1" applyFill="1" applyBorder="1" applyAlignment="1">
      <alignment horizontal="centerContinuous"/>
    </xf>
    <xf numFmtId="0" fontId="0" fillId="3" borderId="123" xfId="0" applyFill="1" applyBorder="1" applyAlignment="1">
      <alignment horizontal="centerContinuous"/>
    </xf>
    <xf numFmtId="0" fontId="0" fillId="3" borderId="7" xfId="0" applyFill="1" applyBorder="1" applyAlignment="1">
      <alignment horizontal="center"/>
    </xf>
    <xf numFmtId="0" fontId="0" fillId="3" borderId="56" xfId="0" applyFill="1" applyBorder="1" applyAlignment="1">
      <alignment horizontal="center"/>
    </xf>
    <xf numFmtId="0" fontId="60" fillId="3" borderId="7" xfId="0" applyFont="1" applyFill="1" applyBorder="1" applyAlignment="1">
      <alignment horizontal="center"/>
    </xf>
    <xf numFmtId="0" fontId="60" fillId="3" borderId="56" xfId="0" applyFont="1" applyFill="1" applyBorder="1" applyAlignment="1">
      <alignment horizontal="center"/>
    </xf>
    <xf numFmtId="49" fontId="2" fillId="3" borderId="7" xfId="0" applyNumberFormat="1" applyFont="1" applyFill="1" applyBorder="1" applyAlignment="1">
      <alignment horizontal="center"/>
    </xf>
    <xf numFmtId="49" fontId="2" fillId="3" borderId="56" xfId="0" applyNumberFormat="1" applyFont="1" applyFill="1" applyBorder="1" applyAlignment="1">
      <alignment horizontal="center"/>
    </xf>
    <xf numFmtId="49" fontId="2" fillId="3" borderId="57" xfId="0" applyNumberFormat="1" applyFont="1" applyFill="1" applyBorder="1" applyAlignment="1">
      <alignment horizontal="center"/>
    </xf>
    <xf numFmtId="0" fontId="7" fillId="8" borderId="0" xfId="0" applyFont="1" applyFill="1" applyBorder="1" applyAlignment="1">
      <alignment vertical="top"/>
    </xf>
    <xf numFmtId="0" fontId="24" fillId="5" borderId="0" xfId="0" applyFont="1" applyFill="1"/>
    <xf numFmtId="0" fontId="24" fillId="5" borderId="0" xfId="0" applyFont="1" applyFill="1" applyAlignment="1">
      <alignment horizontal="left" vertical="center"/>
    </xf>
    <xf numFmtId="0" fontId="81" fillId="5" borderId="0" xfId="0" applyNumberFormat="1" applyFont="1" applyFill="1" applyBorder="1" applyAlignment="1">
      <alignment horizontal="center" vertical="center"/>
    </xf>
    <xf numFmtId="168" fontId="18" fillId="5" borderId="76" xfId="0" applyNumberFormat="1" applyFont="1" applyFill="1" applyBorder="1" applyAlignment="1">
      <alignment horizontal="center" vertical="center"/>
    </xf>
    <xf numFmtId="0" fontId="9" fillId="3" borderId="6" xfId="0" applyFont="1" applyFill="1" applyBorder="1" applyAlignment="1">
      <alignment horizontal="center" vertical="center" wrapText="1"/>
    </xf>
    <xf numFmtId="0" fontId="13" fillId="6" borderId="124" xfId="0" applyFont="1" applyFill="1" applyBorder="1"/>
    <xf numFmtId="0" fontId="2" fillId="6" borderId="21" xfId="0" applyFont="1" applyFill="1" applyBorder="1" applyAlignment="1">
      <alignment horizontal="right" vertical="center"/>
    </xf>
    <xf numFmtId="0" fontId="0" fillId="3" borderId="125" xfId="0" applyFill="1" applyBorder="1" applyAlignment="1">
      <alignment horizontal="center" vertical="center" wrapText="1"/>
    </xf>
    <xf numFmtId="166" fontId="46" fillId="5" borderId="2" xfId="0" applyNumberFormat="1" applyFont="1" applyFill="1" applyBorder="1" applyAlignment="1">
      <alignment horizontal="center" vertical="center"/>
    </xf>
    <xf numFmtId="166" fontId="46" fillId="5" borderId="32" xfId="0" applyNumberFormat="1" applyFont="1" applyFill="1" applyBorder="1" applyAlignment="1">
      <alignment horizontal="center" vertical="center"/>
    </xf>
    <xf numFmtId="0" fontId="0" fillId="5" borderId="9" xfId="0" applyFill="1" applyBorder="1" applyAlignment="1">
      <alignment vertical="center"/>
    </xf>
    <xf numFmtId="0" fontId="0" fillId="3" borderId="126" xfId="0" applyFill="1" applyBorder="1" applyAlignment="1">
      <alignment horizontal="center" vertical="center" wrapText="1"/>
    </xf>
    <xf numFmtId="0" fontId="4" fillId="3" borderId="126" xfId="0" applyFont="1" applyFill="1" applyBorder="1" applyAlignment="1">
      <alignment horizontal="center" vertical="center"/>
    </xf>
    <xf numFmtId="2" fontId="0" fillId="5" borderId="29" xfId="0" applyNumberFormat="1" applyFill="1" applyBorder="1" applyAlignment="1">
      <alignment horizontal="center" vertical="center"/>
    </xf>
    <xf numFmtId="0" fontId="0" fillId="3" borderId="29" xfId="0" applyFill="1" applyBorder="1"/>
    <xf numFmtId="0" fontId="2" fillId="3" borderId="87" xfId="0" applyFont="1" applyFill="1" applyBorder="1" applyAlignment="1">
      <alignment horizontal="center"/>
    </xf>
    <xf numFmtId="0" fontId="3" fillId="6" borderId="127" xfId="0" applyFont="1" applyFill="1" applyBorder="1" applyAlignment="1">
      <alignment horizontal="center" vertical="center" wrapText="1"/>
    </xf>
    <xf numFmtId="1" fontId="9" fillId="5" borderId="128" xfId="0" applyNumberFormat="1" applyFont="1" applyFill="1" applyBorder="1" applyAlignment="1">
      <alignment horizontal="center" vertical="center"/>
    </xf>
    <xf numFmtId="166" fontId="0" fillId="5" borderId="31" xfId="0" applyNumberFormat="1" applyFill="1" applyBorder="1"/>
    <xf numFmtId="166" fontId="0" fillId="5" borderId="0" xfId="0" applyNumberFormat="1" applyFill="1" applyBorder="1"/>
    <xf numFmtId="0" fontId="31" fillId="2" borderId="0" xfId="0" applyFont="1" applyFill="1"/>
    <xf numFmtId="0" fontId="31" fillId="3" borderId="0" xfId="0" applyFont="1" applyFill="1"/>
    <xf numFmtId="0" fontId="161" fillId="6" borderId="0" xfId="0" applyFont="1" applyFill="1"/>
    <xf numFmtId="0" fontId="7" fillId="8" borderId="0" xfId="0" applyFont="1" applyFill="1" applyBorder="1" applyAlignment="1">
      <alignment horizontal="left" vertical="top"/>
    </xf>
    <xf numFmtId="0" fontId="14" fillId="3" borderId="7" xfId="0" applyFont="1" applyFill="1" applyBorder="1" applyAlignment="1">
      <alignment horizontal="center" vertical="center"/>
    </xf>
    <xf numFmtId="166" fontId="48" fillId="8" borderId="125" xfId="0" applyNumberFormat="1" applyFont="1" applyFill="1" applyBorder="1" applyAlignment="1">
      <alignment horizontal="center" vertical="center"/>
    </xf>
    <xf numFmtId="167" fontId="18" fillId="5" borderId="125" xfId="0" applyNumberFormat="1" applyFont="1" applyFill="1" applyBorder="1" applyAlignment="1">
      <alignment horizontal="center" vertical="center"/>
    </xf>
    <xf numFmtId="0" fontId="24" fillId="3" borderId="77" xfId="0" applyFont="1" applyFill="1" applyBorder="1" applyAlignment="1">
      <alignment horizontal="center" vertical="center"/>
    </xf>
    <xf numFmtId="166" fontId="0" fillId="11" borderId="9" xfId="0" applyNumberFormat="1" applyFill="1" applyBorder="1" applyAlignment="1">
      <alignment horizontal="center"/>
    </xf>
    <xf numFmtId="0" fontId="18" fillId="3" borderId="56" xfId="0" applyFont="1" applyFill="1" applyBorder="1" applyAlignment="1">
      <alignment horizontal="center" vertical="center" shrinkToFit="1"/>
    </xf>
    <xf numFmtId="166" fontId="18" fillId="5" borderId="129" xfId="0" applyNumberFormat="1" applyFont="1" applyFill="1" applyBorder="1" applyAlignment="1">
      <alignment horizontal="center" vertical="center"/>
    </xf>
    <xf numFmtId="0" fontId="18" fillId="3" borderId="130" xfId="0" applyFont="1" applyFill="1" applyBorder="1" applyAlignment="1">
      <alignment horizontal="center" vertical="top"/>
    </xf>
    <xf numFmtId="167" fontId="18" fillId="5" borderId="129" xfId="0" applyNumberFormat="1" applyFont="1" applyFill="1" applyBorder="1" applyAlignment="1">
      <alignment horizontal="center" vertical="center"/>
    </xf>
    <xf numFmtId="0" fontId="18" fillId="3" borderId="10" xfId="0" applyFont="1" applyFill="1" applyBorder="1" applyAlignment="1">
      <alignment horizontal="center" vertical="center"/>
    </xf>
    <xf numFmtId="0" fontId="18" fillId="3" borderId="130" xfId="0" applyFont="1" applyFill="1" applyBorder="1" applyAlignment="1">
      <alignment horizontal="center" vertical="center" shrinkToFit="1"/>
    </xf>
    <xf numFmtId="0" fontId="53" fillId="3" borderId="131" xfId="0" applyFont="1" applyFill="1" applyBorder="1" applyAlignment="1">
      <alignment horizontal="center" vertical="center"/>
    </xf>
    <xf numFmtId="167" fontId="0" fillId="2" borderId="0" xfId="0" applyNumberFormat="1" applyFill="1" applyAlignment="1">
      <alignment vertical="justify"/>
    </xf>
    <xf numFmtId="166" fontId="0" fillId="2" borderId="0" xfId="0" applyNumberFormat="1" applyFill="1" applyAlignment="1">
      <alignment vertical="justify"/>
    </xf>
    <xf numFmtId="167" fontId="0" fillId="5" borderId="132" xfId="0" applyNumberFormat="1" applyFill="1" applyBorder="1" applyAlignment="1">
      <alignment horizontal="center" vertical="center"/>
    </xf>
    <xf numFmtId="0" fontId="0" fillId="5" borderId="9" xfId="0" applyFill="1" applyBorder="1"/>
    <xf numFmtId="0" fontId="2" fillId="3" borderId="56" xfId="0" applyFont="1" applyFill="1" applyBorder="1" applyAlignment="1">
      <alignment horizontal="center"/>
    </xf>
    <xf numFmtId="166" fontId="0" fillId="5" borderId="133" xfId="0" applyNumberFormat="1" applyFill="1" applyBorder="1" applyAlignment="1">
      <alignment horizontal="center" vertical="center"/>
    </xf>
    <xf numFmtId="166" fontId="0" fillId="5" borderId="35" xfId="0" applyNumberFormat="1" applyFill="1" applyBorder="1" applyAlignment="1">
      <alignment horizontal="center" vertical="center"/>
    </xf>
    <xf numFmtId="166" fontId="18" fillId="5" borderId="134" xfId="0" applyNumberFormat="1" applyFont="1" applyFill="1" applyBorder="1" applyAlignment="1">
      <alignment horizontal="center" vertical="center"/>
    </xf>
    <xf numFmtId="0" fontId="13" fillId="6" borderId="238" xfId="0" applyFont="1" applyFill="1" applyBorder="1" applyAlignment="1">
      <alignment vertical="center"/>
    </xf>
    <xf numFmtId="166" fontId="18" fillId="6" borderId="21" xfId="0" applyNumberFormat="1" applyFont="1" applyFill="1" applyBorder="1" applyAlignment="1">
      <alignment horizontal="right" vertical="center"/>
    </xf>
    <xf numFmtId="168" fontId="18" fillId="5" borderId="44" xfId="0" applyNumberFormat="1" applyFont="1" applyFill="1" applyBorder="1" applyAlignment="1">
      <alignment horizontal="center" vertical="center"/>
    </xf>
    <xf numFmtId="49" fontId="53" fillId="3" borderId="66" xfId="0" applyNumberFormat="1" applyFont="1" applyFill="1" applyBorder="1" applyAlignment="1">
      <alignment horizontal="center"/>
    </xf>
    <xf numFmtId="0" fontId="2" fillId="6" borderId="135" xfId="0" applyFont="1" applyFill="1" applyBorder="1" applyAlignment="1">
      <alignment horizontal="left" vertical="center"/>
    </xf>
    <xf numFmtId="0" fontId="3" fillId="6" borderId="136" xfId="0" applyFont="1" applyFill="1" applyBorder="1" applyAlignment="1">
      <alignment horizontal="right" vertical="center"/>
    </xf>
    <xf numFmtId="0" fontId="2" fillId="3" borderId="0" xfId="0" applyFont="1" applyFill="1"/>
    <xf numFmtId="0" fontId="2" fillId="3" borderId="31" xfId="0" applyFont="1" applyFill="1" applyBorder="1" applyAlignment="1">
      <alignment horizontal="center"/>
    </xf>
    <xf numFmtId="0" fontId="18" fillId="3" borderId="32" xfId="0" applyFont="1" applyFill="1" applyBorder="1" applyAlignment="1">
      <alignment horizontal="center"/>
    </xf>
    <xf numFmtId="166" fontId="13" fillId="6" borderId="21" xfId="0" applyNumberFormat="1" applyFont="1" applyFill="1" applyBorder="1" applyAlignment="1">
      <alignment horizontal="left" vertical="center"/>
    </xf>
    <xf numFmtId="0" fontId="53" fillId="3" borderId="123" xfId="0" applyFont="1" applyFill="1" applyBorder="1" applyAlignment="1">
      <alignment horizontal="center" vertical="top"/>
    </xf>
    <xf numFmtId="0" fontId="126" fillId="2" borderId="0" xfId="0" applyFont="1" applyFill="1"/>
    <xf numFmtId="0" fontId="44" fillId="3" borderId="77" xfId="0" applyFont="1" applyFill="1" applyBorder="1" applyAlignment="1">
      <alignment horizontal="center" vertical="center"/>
    </xf>
    <xf numFmtId="0" fontId="44" fillId="3" borderId="8" xfId="0" applyFont="1" applyFill="1" applyBorder="1" applyAlignment="1">
      <alignment horizontal="center" vertical="center"/>
    </xf>
    <xf numFmtId="166" fontId="0" fillId="5" borderId="55" xfId="2" applyNumberFormat="1" applyFont="1" applyFill="1" applyBorder="1" applyAlignment="1">
      <alignment horizontal="center" vertical="center"/>
    </xf>
    <xf numFmtId="166" fontId="0" fillId="5" borderId="137" xfId="2" applyNumberFormat="1" applyFont="1" applyFill="1" applyBorder="1" applyAlignment="1">
      <alignment horizontal="center" vertical="center"/>
    </xf>
    <xf numFmtId="166" fontId="0" fillId="5" borderId="99" xfId="2" applyNumberFormat="1" applyFont="1" applyFill="1" applyBorder="1" applyAlignment="1">
      <alignment horizontal="center" vertical="center"/>
    </xf>
    <xf numFmtId="169" fontId="0" fillId="5" borderId="133" xfId="2" applyNumberFormat="1" applyFont="1" applyFill="1" applyBorder="1" applyAlignment="1">
      <alignment horizontal="center" vertical="center"/>
    </xf>
    <xf numFmtId="169" fontId="0" fillId="5" borderId="122" xfId="2" applyNumberFormat="1" applyFont="1" applyFill="1" applyBorder="1" applyAlignment="1">
      <alignment horizontal="center" vertical="center"/>
    </xf>
    <xf numFmtId="166" fontId="0" fillId="5" borderId="138" xfId="2" applyNumberFormat="1" applyFont="1" applyFill="1" applyBorder="1" applyAlignment="1">
      <alignment horizontal="center" vertical="center"/>
    </xf>
    <xf numFmtId="166" fontId="0" fillId="5" borderId="24" xfId="2" applyNumberFormat="1" applyFont="1" applyFill="1" applyBorder="1" applyAlignment="1">
      <alignment horizontal="center" vertical="center"/>
    </xf>
    <xf numFmtId="0" fontId="162" fillId="2" borderId="0" xfId="0" applyFont="1" applyFill="1" applyBorder="1"/>
    <xf numFmtId="49" fontId="2" fillId="3" borderId="10" xfId="0" applyNumberFormat="1" applyFont="1" applyFill="1" applyBorder="1" applyAlignment="1">
      <alignment horizontal="center" vertical="center"/>
    </xf>
    <xf numFmtId="1" fontId="6" fillId="5" borderId="90" xfId="0" applyNumberFormat="1" applyFont="1" applyFill="1" applyBorder="1" applyAlignment="1">
      <alignment horizontal="center" vertical="center"/>
    </xf>
    <xf numFmtId="1" fontId="6" fillId="5" borderId="105" xfId="0" applyNumberFormat="1" applyFont="1" applyFill="1" applyBorder="1" applyAlignment="1">
      <alignment horizontal="center" vertical="center"/>
    </xf>
    <xf numFmtId="1" fontId="6" fillId="5" borderId="80" xfId="0" applyNumberFormat="1" applyFont="1" applyFill="1" applyBorder="1" applyAlignment="1">
      <alignment horizontal="center" vertical="center"/>
    </xf>
    <xf numFmtId="0" fontId="6" fillId="5" borderId="90" xfId="0" applyNumberFormat="1" applyFont="1" applyFill="1" applyBorder="1" applyAlignment="1" applyProtection="1">
      <alignment horizontal="center" vertical="center" wrapText="1"/>
      <protection hidden="1"/>
    </xf>
    <xf numFmtId="0" fontId="6" fillId="5" borderId="105" xfId="0" applyNumberFormat="1" applyFont="1" applyFill="1" applyBorder="1" applyAlignment="1" applyProtection="1">
      <alignment horizontal="center" vertical="center" wrapText="1"/>
      <protection hidden="1"/>
    </xf>
    <xf numFmtId="0" fontId="6" fillId="5" borderId="55" xfId="0" applyNumberFormat="1" applyFont="1" applyFill="1" applyBorder="1" applyAlignment="1" applyProtection="1">
      <alignment horizontal="center" vertical="center" wrapText="1"/>
      <protection hidden="1"/>
    </xf>
    <xf numFmtId="1" fontId="12" fillId="5" borderId="90" xfId="0" applyNumberFormat="1" applyFont="1" applyFill="1" applyBorder="1" applyAlignment="1">
      <alignment horizontal="center" vertical="center"/>
    </xf>
    <xf numFmtId="49" fontId="2" fillId="0" borderId="14" xfId="0" applyNumberFormat="1" applyFont="1" applyFill="1" applyBorder="1" applyAlignment="1">
      <alignment horizontal="center" vertical="top" wrapText="1"/>
    </xf>
    <xf numFmtId="0" fontId="47" fillId="3" borderId="21" xfId="0" applyFont="1" applyFill="1" applyBorder="1" applyAlignment="1">
      <alignment horizontal="center" vertical="center"/>
    </xf>
    <xf numFmtId="0" fontId="47" fillId="6" borderId="1" xfId="0" applyFont="1" applyFill="1" applyBorder="1" applyAlignment="1">
      <alignment horizontal="center" vertical="center"/>
    </xf>
    <xf numFmtId="165" fontId="37" fillId="8" borderId="139" xfId="0" applyNumberFormat="1" applyFont="1" applyFill="1" applyBorder="1" applyAlignment="1">
      <alignment horizontal="center" vertical="center"/>
    </xf>
    <xf numFmtId="0" fontId="3" fillId="6" borderId="95" xfId="0" applyFont="1" applyFill="1" applyBorder="1" applyAlignment="1">
      <alignment horizontal="right" vertical="center"/>
    </xf>
    <xf numFmtId="0" fontId="3" fillId="6" borderId="95" xfId="0" applyFont="1" applyFill="1" applyBorder="1" applyAlignment="1">
      <alignment horizontal="center" vertical="center"/>
    </xf>
    <xf numFmtId="0" fontId="3" fillId="6" borderId="95" xfId="0" applyFont="1" applyFill="1" applyBorder="1" applyAlignment="1">
      <alignment horizontal="center" vertical="center" wrapText="1"/>
    </xf>
    <xf numFmtId="0" fontId="3" fillId="6" borderId="93" xfId="0" applyFont="1" applyFill="1" applyBorder="1" applyAlignment="1">
      <alignment horizontal="center" vertical="center" wrapText="1"/>
    </xf>
    <xf numFmtId="0" fontId="47" fillId="11" borderId="21" xfId="0" applyFont="1" applyFill="1" applyBorder="1" applyAlignment="1">
      <alignment horizontal="center" vertical="center"/>
    </xf>
    <xf numFmtId="170" fontId="2" fillId="3" borderId="91" xfId="0" applyNumberFormat="1" applyFont="1" applyFill="1" applyBorder="1" applyAlignment="1">
      <alignment horizontal="center" vertical="center"/>
    </xf>
    <xf numFmtId="0" fontId="2" fillId="3" borderId="91" xfId="0" applyFont="1" applyFill="1" applyBorder="1" applyAlignment="1">
      <alignment horizontal="right" vertical="center"/>
    </xf>
    <xf numFmtId="165" fontId="2" fillId="5" borderId="140" xfId="0" applyNumberFormat="1" applyFont="1" applyFill="1" applyBorder="1" applyAlignment="1">
      <alignment horizontal="center" vertical="center"/>
    </xf>
    <xf numFmtId="0" fontId="2" fillId="3" borderId="141" xfId="0" applyFont="1" applyFill="1" applyBorder="1" applyAlignment="1">
      <alignment horizontal="right" vertical="center"/>
    </xf>
    <xf numFmtId="0" fontId="2" fillId="3" borderId="142" xfId="0" applyFont="1" applyFill="1" applyBorder="1" applyAlignment="1">
      <alignment horizontal="right" vertical="center"/>
    </xf>
    <xf numFmtId="0" fontId="18" fillId="0" borderId="143" xfId="0" applyFont="1" applyBorder="1" applyAlignment="1">
      <alignment horizontal="center" vertical="center"/>
    </xf>
    <xf numFmtId="0" fontId="2" fillId="3" borderId="144" xfId="0" applyFont="1" applyFill="1" applyBorder="1" applyAlignment="1">
      <alignment horizontal="right" vertical="center"/>
    </xf>
    <xf numFmtId="0" fontId="2" fillId="5" borderId="140" xfId="0" applyFont="1" applyFill="1" applyBorder="1" applyAlignment="1">
      <alignment horizontal="center" vertical="center"/>
    </xf>
    <xf numFmtId="0" fontId="46" fillId="0" borderId="145" xfId="0" applyFont="1" applyFill="1" applyBorder="1" applyAlignment="1">
      <alignment horizontal="center" vertical="center"/>
    </xf>
    <xf numFmtId="0" fontId="46" fillId="0" borderId="21" xfId="0" applyFont="1" applyFill="1" applyBorder="1" applyAlignment="1">
      <alignment horizontal="center" vertical="center"/>
    </xf>
    <xf numFmtId="0" fontId="46" fillId="0" borderId="1" xfId="0" applyFont="1" applyFill="1" applyBorder="1" applyAlignment="1">
      <alignment horizontal="center" vertical="center"/>
    </xf>
    <xf numFmtId="0" fontId="2" fillId="3" borderId="146" xfId="0" applyNumberFormat="1" applyFont="1" applyFill="1" applyBorder="1" applyAlignment="1">
      <alignment horizontal="center" vertical="center"/>
    </xf>
    <xf numFmtId="0" fontId="2" fillId="3" borderId="42" xfId="0" applyFont="1" applyFill="1" applyBorder="1" applyAlignment="1">
      <alignment horizontal="right" vertical="center"/>
    </xf>
    <xf numFmtId="165" fontId="2" fillId="5" borderId="147" xfId="0" applyNumberFormat="1" applyFont="1" applyFill="1" applyBorder="1" applyAlignment="1">
      <alignment horizontal="center" vertical="center"/>
    </xf>
    <xf numFmtId="0" fontId="3" fillId="6" borderId="148" xfId="0" applyFont="1" applyFill="1" applyBorder="1" applyAlignment="1">
      <alignment horizontal="center" vertical="center" wrapText="1"/>
    </xf>
    <xf numFmtId="0" fontId="3" fillId="6" borderId="149" xfId="0" applyFont="1" applyFill="1" applyBorder="1" applyAlignment="1">
      <alignment horizontal="center" vertical="center" wrapText="1"/>
    </xf>
    <xf numFmtId="0" fontId="3" fillId="6" borderId="149" xfId="0" applyFont="1" applyFill="1" applyBorder="1" applyAlignment="1">
      <alignment horizontal="center" vertical="center"/>
    </xf>
    <xf numFmtId="0" fontId="3" fillId="6" borderId="150" xfId="0" applyFont="1" applyFill="1" applyBorder="1" applyAlignment="1">
      <alignment horizontal="center" vertical="center" wrapText="1"/>
    </xf>
    <xf numFmtId="0" fontId="3" fillId="6" borderId="148" xfId="0" applyFont="1" applyFill="1" applyBorder="1" applyAlignment="1">
      <alignment horizontal="left" vertical="center"/>
    </xf>
    <xf numFmtId="0" fontId="2" fillId="3" borderId="151" xfId="0" applyFont="1" applyFill="1" applyBorder="1" applyAlignment="1">
      <alignment horizontal="center" vertical="center"/>
    </xf>
    <xf numFmtId="0" fontId="2" fillId="3" borderId="152" xfId="0" applyFont="1" applyFill="1" applyBorder="1" applyAlignment="1">
      <alignment horizontal="center" vertical="center"/>
    </xf>
    <xf numFmtId="0" fontId="0" fillId="3" borderId="152" xfId="0" applyFill="1" applyBorder="1" applyAlignment="1">
      <alignment horizontal="center" vertical="center"/>
    </xf>
    <xf numFmtId="0" fontId="2" fillId="3" borderId="153" xfId="0" applyFont="1" applyFill="1" applyBorder="1" applyAlignment="1">
      <alignment horizontal="center" vertical="center"/>
    </xf>
    <xf numFmtId="165" fontId="3" fillId="3" borderId="6" xfId="0" applyNumberFormat="1" applyFont="1" applyFill="1" applyBorder="1" applyAlignment="1">
      <alignment horizontal="center" vertical="center"/>
    </xf>
    <xf numFmtId="165" fontId="18" fillId="5" borderId="36" xfId="0" applyNumberFormat="1" applyFont="1" applyFill="1" applyBorder="1" applyAlignment="1">
      <alignment horizontal="center" vertical="center"/>
    </xf>
    <xf numFmtId="166" fontId="2" fillId="5" borderId="0" xfId="0" applyNumberFormat="1" applyFont="1" applyFill="1" applyBorder="1" applyAlignment="1">
      <alignment horizontal="center" vertical="center"/>
    </xf>
    <xf numFmtId="0" fontId="2" fillId="5" borderId="0" xfId="0" applyFont="1" applyFill="1" applyBorder="1" applyAlignment="1">
      <alignment horizontal="center" vertical="center"/>
    </xf>
    <xf numFmtId="0" fontId="2" fillId="5" borderId="139" xfId="0" applyFont="1" applyFill="1" applyBorder="1" applyAlignment="1">
      <alignment horizontal="center" vertical="center"/>
    </xf>
    <xf numFmtId="0" fontId="0" fillId="3" borderId="121" xfId="0" applyFill="1" applyBorder="1" applyAlignment="1">
      <alignment horizontal="center" vertical="center"/>
    </xf>
    <xf numFmtId="165" fontId="18" fillId="5" borderId="72" xfId="0" applyNumberFormat="1" applyFont="1" applyFill="1" applyBorder="1" applyAlignment="1">
      <alignment horizontal="center" vertical="center"/>
    </xf>
    <xf numFmtId="166" fontId="2" fillId="5" borderId="45" xfId="0" applyNumberFormat="1" applyFont="1" applyFill="1" applyBorder="1" applyAlignment="1">
      <alignment horizontal="center" vertical="center"/>
    </xf>
    <xf numFmtId="0" fontId="2" fillId="5" borderId="45" xfId="0" applyFont="1" applyFill="1" applyBorder="1" applyAlignment="1">
      <alignment horizontal="center" vertical="center"/>
    </xf>
    <xf numFmtId="0" fontId="2" fillId="5" borderId="154" xfId="0" applyFont="1" applyFill="1" applyBorder="1" applyAlignment="1">
      <alignment horizontal="center" vertical="center"/>
    </xf>
    <xf numFmtId="0" fontId="13" fillId="6" borderId="27" xfId="0" applyFont="1" applyFill="1" applyBorder="1" applyAlignment="1">
      <alignment horizontal="left"/>
    </xf>
    <xf numFmtId="0" fontId="3" fillId="6" borderId="27" xfId="0" applyFont="1" applyFill="1" applyBorder="1" applyAlignment="1">
      <alignment vertical="center"/>
    </xf>
    <xf numFmtId="0" fontId="0" fillId="6" borderId="155" xfId="0" applyFill="1" applyBorder="1" applyAlignment="1">
      <alignment horizontal="center" vertical="center"/>
    </xf>
    <xf numFmtId="0" fontId="3" fillId="6" borderId="2" xfId="0" applyFont="1" applyFill="1" applyBorder="1" applyAlignment="1">
      <alignment horizontal="left" vertical="top"/>
    </xf>
    <xf numFmtId="0" fontId="2" fillId="6" borderId="2" xfId="0" applyFont="1" applyFill="1" applyBorder="1" applyAlignment="1">
      <alignment horizontal="left" vertical="top"/>
    </xf>
    <xf numFmtId="0" fontId="3" fillId="6" borderId="2" xfId="0" applyFont="1" applyFill="1" applyBorder="1" applyAlignment="1">
      <alignment vertical="top"/>
    </xf>
    <xf numFmtId="0" fontId="0" fillId="6" borderId="156" xfId="0" applyFill="1" applyBorder="1" applyAlignment="1">
      <alignment horizontal="center" vertical="center"/>
    </xf>
    <xf numFmtId="0" fontId="0" fillId="3" borderId="139" xfId="0" applyFill="1" applyBorder="1" applyAlignment="1">
      <alignment horizontal="center" vertical="center"/>
    </xf>
    <xf numFmtId="0" fontId="2" fillId="3" borderId="4" xfId="0" applyFont="1" applyFill="1" applyBorder="1" applyAlignment="1">
      <alignment horizontal="left" vertical="center"/>
    </xf>
    <xf numFmtId="0" fontId="2" fillId="3" borderId="0" xfId="0" applyFont="1" applyFill="1" applyBorder="1" applyAlignment="1">
      <alignment horizontal="center" vertical="center"/>
    </xf>
    <xf numFmtId="0" fontId="2" fillId="3" borderId="4" xfId="0" applyFont="1" applyFill="1" applyBorder="1" applyAlignment="1">
      <alignment horizontal="right" vertical="center"/>
    </xf>
    <xf numFmtId="0" fontId="18" fillId="0" borderId="104" xfId="0" applyFont="1" applyBorder="1" applyAlignment="1">
      <alignment horizontal="center"/>
    </xf>
    <xf numFmtId="0" fontId="2" fillId="3" borderId="139" xfId="0" applyFont="1" applyFill="1" applyBorder="1" applyAlignment="1">
      <alignment horizontal="left" vertical="center"/>
    </xf>
    <xf numFmtId="0" fontId="2" fillId="3" borderId="0" xfId="0" applyFont="1" applyFill="1" applyBorder="1" applyAlignment="1">
      <alignment horizontal="right" vertical="center"/>
    </xf>
    <xf numFmtId="0" fontId="18" fillId="0" borderId="107" xfId="0" applyFont="1" applyBorder="1" applyAlignment="1">
      <alignment horizontal="center"/>
    </xf>
    <xf numFmtId="0" fontId="0" fillId="3" borderId="4" xfId="0" applyFill="1" applyBorder="1" applyAlignment="1">
      <alignment horizontal="left" vertical="center"/>
    </xf>
    <xf numFmtId="0" fontId="0" fillId="3" borderId="0" xfId="0" applyFill="1" applyBorder="1" applyAlignment="1">
      <alignment horizontal="left" vertical="center"/>
    </xf>
    <xf numFmtId="0" fontId="2" fillId="3" borderId="239" xfId="0" applyFont="1" applyFill="1" applyBorder="1" applyAlignment="1">
      <alignment horizontal="left" vertical="center"/>
    </xf>
    <xf numFmtId="0" fontId="0" fillId="3" borderId="240" xfId="0" applyFill="1" applyBorder="1" applyAlignment="1">
      <alignment horizontal="center" vertical="center"/>
    </xf>
    <xf numFmtId="0" fontId="2" fillId="3" borderId="241" xfId="0" applyFont="1" applyFill="1" applyBorder="1" applyAlignment="1">
      <alignment horizontal="center" vertical="center"/>
    </xf>
    <xf numFmtId="0" fontId="0" fillId="3" borderId="7" xfId="0" applyFill="1" applyBorder="1" applyAlignment="1">
      <alignment horizontal="center" vertical="center"/>
    </xf>
    <xf numFmtId="165" fontId="18" fillId="0" borderId="31" xfId="0" applyNumberFormat="1" applyFont="1" applyFill="1" applyBorder="1" applyAlignment="1">
      <alignment horizontal="center"/>
    </xf>
    <xf numFmtId="0" fontId="0" fillId="5" borderId="31" xfId="0" applyFill="1" applyBorder="1" applyAlignment="1">
      <alignment horizontal="center"/>
    </xf>
    <xf numFmtId="0" fontId="18" fillId="5" borderId="157" xfId="0" applyFont="1" applyFill="1" applyBorder="1" applyAlignment="1">
      <alignment horizontal="center"/>
    </xf>
    <xf numFmtId="165" fontId="18" fillId="0" borderId="0" xfId="0" applyNumberFormat="1" applyFont="1" applyFill="1" applyBorder="1" applyAlignment="1">
      <alignment horizontal="center"/>
    </xf>
    <xf numFmtId="0" fontId="0" fillId="5" borderId="0" xfId="0" applyFill="1" applyBorder="1" applyAlignment="1">
      <alignment horizontal="center"/>
    </xf>
    <xf numFmtId="0" fontId="18" fillId="5" borderId="139" xfId="0" applyFont="1" applyFill="1" applyBorder="1" applyAlignment="1">
      <alignment horizontal="center"/>
    </xf>
    <xf numFmtId="165" fontId="18" fillId="0" borderId="45" xfId="0" applyNumberFormat="1" applyFont="1" applyFill="1" applyBorder="1" applyAlignment="1">
      <alignment horizontal="center"/>
    </xf>
    <xf numFmtId="0" fontId="0" fillId="5" borderId="45" xfId="0" applyFill="1" applyBorder="1" applyAlignment="1">
      <alignment horizontal="center"/>
    </xf>
    <xf numFmtId="0" fontId="18" fillId="5" borderId="154" xfId="0" applyFont="1" applyFill="1" applyBorder="1" applyAlignment="1">
      <alignment horizontal="center"/>
    </xf>
    <xf numFmtId="0" fontId="2" fillId="3" borderId="158" xfId="0" applyFont="1" applyFill="1" applyBorder="1" applyAlignment="1">
      <alignment horizontal="center" vertical="center"/>
    </xf>
    <xf numFmtId="0" fontId="0" fillId="3" borderId="6" xfId="0" applyFill="1" applyBorder="1" applyAlignment="1">
      <alignment horizontal="center" vertical="center"/>
    </xf>
    <xf numFmtId="0" fontId="2" fillId="3" borderId="106" xfId="0" applyFont="1" applyFill="1" applyBorder="1" applyAlignment="1">
      <alignment horizontal="center" vertical="center"/>
    </xf>
    <xf numFmtId="0" fontId="2" fillId="3" borderId="159" xfId="0" applyFont="1" applyFill="1" applyBorder="1" applyAlignment="1">
      <alignment horizontal="center" vertical="center"/>
    </xf>
    <xf numFmtId="0" fontId="0" fillId="3" borderId="160" xfId="0" applyFill="1" applyBorder="1" applyAlignment="1">
      <alignment horizontal="center" vertical="center"/>
    </xf>
    <xf numFmtId="0" fontId="18" fillId="5" borderId="0" xfId="0" applyNumberFormat="1" applyFont="1" applyFill="1" applyBorder="1" applyAlignment="1">
      <alignment horizontal="center" vertical="center"/>
    </xf>
    <xf numFmtId="0" fontId="2" fillId="5" borderId="0" xfId="0" applyFont="1" applyFill="1" applyBorder="1" applyAlignment="1">
      <alignment horizontal="left"/>
    </xf>
    <xf numFmtId="0" fontId="2" fillId="5" borderId="0" xfId="0" applyFont="1" applyFill="1" applyAlignment="1">
      <alignment horizontal="left" vertical="center"/>
    </xf>
    <xf numFmtId="0" fontId="2" fillId="5" borderId="0" xfId="0" applyFont="1" applyFill="1" applyAlignment="1">
      <alignment horizontal="left"/>
    </xf>
    <xf numFmtId="0" fontId="75" fillId="3" borderId="63" xfId="0" applyFont="1" applyFill="1" applyBorder="1" applyAlignment="1">
      <alignment horizontal="center" vertical="center" wrapText="1"/>
    </xf>
    <xf numFmtId="0" fontId="6" fillId="5" borderId="63" xfId="0" applyFont="1" applyFill="1" applyBorder="1" applyAlignment="1">
      <alignment horizontal="center" vertical="center" wrapText="1"/>
    </xf>
    <xf numFmtId="0" fontId="2" fillId="3" borderId="56" xfId="0" applyFont="1" applyFill="1" applyBorder="1" applyAlignment="1">
      <alignment horizontal="center" vertical="center"/>
    </xf>
    <xf numFmtId="166" fontId="17" fillId="5" borderId="66" xfId="0" applyNumberFormat="1" applyFont="1" applyFill="1" applyBorder="1" applyAlignment="1">
      <alignment horizontal="center" vertical="center"/>
    </xf>
    <xf numFmtId="0" fontId="3" fillId="6" borderId="26" xfId="0" applyFont="1" applyFill="1" applyBorder="1" applyAlignment="1">
      <alignment horizontal="center" vertical="center"/>
    </xf>
    <xf numFmtId="0" fontId="13" fillId="6" borderId="28" xfId="0" applyFont="1" applyFill="1" applyBorder="1"/>
    <xf numFmtId="166" fontId="163" fillId="7" borderId="4" xfId="2" applyNumberFormat="1" applyFont="1" applyFill="1" applyBorder="1" applyAlignment="1">
      <alignment horizontal="left" vertical="center"/>
    </xf>
    <xf numFmtId="166" fontId="2" fillId="7" borderId="0" xfId="2" applyNumberFormat="1" applyFont="1" applyFill="1" applyBorder="1" applyAlignment="1">
      <alignment horizontal="left" vertical="center"/>
    </xf>
    <xf numFmtId="166" fontId="164" fillId="7" borderId="9" xfId="2" applyNumberFormat="1" applyFont="1" applyFill="1" applyBorder="1" applyAlignment="1">
      <alignment horizontal="center" vertical="center"/>
    </xf>
    <xf numFmtId="166" fontId="163" fillId="7" borderId="96" xfId="2" applyNumberFormat="1" applyFont="1" applyFill="1" applyBorder="1" applyAlignment="1">
      <alignment horizontal="left" vertical="center"/>
    </xf>
    <xf numFmtId="166" fontId="0" fillId="7" borderId="46" xfId="2" applyNumberFormat="1" applyFont="1" applyFill="1" applyBorder="1" applyAlignment="1">
      <alignment horizontal="center" vertical="center"/>
    </xf>
    <xf numFmtId="0" fontId="3" fillId="6" borderId="242" xfId="0" applyFont="1" applyFill="1" applyBorder="1" applyAlignment="1">
      <alignment horizontal="left" vertical="center"/>
    </xf>
    <xf numFmtId="0" fontId="3" fillId="6" borderId="243" xfId="0" applyFont="1" applyFill="1" applyBorder="1" applyAlignment="1">
      <alignment horizontal="left" vertical="center"/>
    </xf>
    <xf numFmtId="0" fontId="0" fillId="12" borderId="244" xfId="0" applyFill="1" applyBorder="1"/>
    <xf numFmtId="0" fontId="0" fillId="13" borderId="245" xfId="0" applyFill="1" applyBorder="1"/>
    <xf numFmtId="0" fontId="2" fillId="3" borderId="246" xfId="0" applyFont="1" applyFill="1" applyBorder="1" applyAlignment="1">
      <alignment horizontal="center" vertical="center"/>
    </xf>
    <xf numFmtId="166" fontId="13" fillId="14" borderId="247" xfId="2" applyNumberFormat="1" applyFont="1" applyFill="1" applyBorder="1" applyAlignment="1">
      <alignment horizontal="center" vertical="center"/>
    </xf>
    <xf numFmtId="0" fontId="0" fillId="12" borderId="25" xfId="0" applyFill="1" applyBorder="1"/>
    <xf numFmtId="0" fontId="0" fillId="13" borderId="161" xfId="0" applyFill="1" applyBorder="1"/>
    <xf numFmtId="0" fontId="2" fillId="6" borderId="248" xfId="0" applyFont="1" applyFill="1" applyBorder="1" applyAlignment="1">
      <alignment horizontal="center" vertical="center"/>
    </xf>
    <xf numFmtId="49" fontId="0" fillId="3" borderId="249" xfId="0" applyNumberFormat="1" applyFill="1" applyBorder="1" applyAlignment="1">
      <alignment horizontal="center"/>
    </xf>
    <xf numFmtId="166" fontId="165" fillId="2" borderId="25" xfId="0" applyNumberFormat="1" applyFont="1" applyFill="1" applyBorder="1" applyAlignment="1">
      <alignment horizontal="left"/>
    </xf>
    <xf numFmtId="166" fontId="165" fillId="2" borderId="161" xfId="0" applyNumberFormat="1" applyFont="1" applyFill="1" applyBorder="1"/>
    <xf numFmtId="49" fontId="0" fillId="3" borderId="250" xfId="0" applyNumberFormat="1" applyFill="1" applyBorder="1" applyAlignment="1">
      <alignment horizontal="center"/>
    </xf>
    <xf numFmtId="49" fontId="0" fillId="3" borderId="251" xfId="0" applyNumberFormat="1" applyFill="1" applyBorder="1" applyAlignment="1">
      <alignment horizontal="center"/>
    </xf>
    <xf numFmtId="0" fontId="3" fillId="6" borderId="162" xfId="0" applyFont="1" applyFill="1" applyBorder="1" applyAlignment="1">
      <alignment horizontal="left" vertical="center"/>
    </xf>
    <xf numFmtId="0" fontId="0" fillId="15" borderId="252" xfId="0" applyFill="1" applyBorder="1"/>
    <xf numFmtId="0" fontId="2" fillId="3" borderId="22" xfId="0" applyFont="1" applyFill="1" applyBorder="1" applyAlignment="1">
      <alignment horizontal="center" vertical="center"/>
    </xf>
    <xf numFmtId="166" fontId="2" fillId="7" borderId="45" xfId="2" applyNumberFormat="1" applyFont="1" applyFill="1" applyBorder="1" applyAlignment="1">
      <alignment horizontal="left" vertical="center"/>
    </xf>
    <xf numFmtId="0" fontId="2" fillId="3" borderId="2" xfId="0" applyFont="1" applyFill="1" applyBorder="1" applyAlignment="1">
      <alignment horizontal="center" vertical="center" wrapText="1"/>
    </xf>
    <xf numFmtId="0" fontId="87" fillId="2" borderId="0" xfId="0" applyFont="1" applyFill="1" applyBorder="1" applyAlignment="1">
      <alignment horizontal="center" vertical="center"/>
    </xf>
    <xf numFmtId="0" fontId="80" fillId="2" borderId="0" xfId="0" applyFont="1" applyFill="1" applyBorder="1" applyAlignment="1">
      <alignment horizontal="center" vertical="center"/>
    </xf>
    <xf numFmtId="0" fontId="13" fillId="6" borderId="96" xfId="0" applyFont="1" applyFill="1" applyBorder="1" applyAlignment="1">
      <alignment vertical="center"/>
    </xf>
    <xf numFmtId="0" fontId="13" fillId="6" borderId="45" xfId="0" applyFont="1" applyFill="1" applyBorder="1"/>
    <xf numFmtId="0" fontId="80" fillId="6" borderId="45" xfId="0" applyFont="1" applyFill="1" applyBorder="1" applyAlignment="1">
      <alignment horizontal="left" vertical="center"/>
    </xf>
    <xf numFmtId="0" fontId="0" fillId="6" borderId="46" xfId="0" applyFill="1" applyBorder="1" applyAlignment="1">
      <alignment horizontal="center"/>
    </xf>
    <xf numFmtId="0" fontId="166" fillId="6" borderId="163" xfId="0" applyFont="1" applyFill="1" applyBorder="1" applyAlignment="1">
      <alignment horizontal="left" vertical="center"/>
    </xf>
    <xf numFmtId="0" fontId="166" fillId="6" borderId="253" xfId="0" applyFont="1" applyFill="1" applyBorder="1" applyAlignment="1">
      <alignment horizontal="left" vertical="center"/>
    </xf>
    <xf numFmtId="0" fontId="166" fillId="5" borderId="164" xfId="0" applyFont="1" applyFill="1" applyBorder="1" applyAlignment="1">
      <alignment horizontal="left" vertical="center"/>
    </xf>
    <xf numFmtId="0" fontId="80" fillId="5" borderId="60" xfId="0" applyFont="1" applyFill="1" applyBorder="1" applyAlignment="1"/>
    <xf numFmtId="0" fontId="80" fillId="5" borderId="1" xfId="0" applyFont="1" applyFill="1" applyBorder="1"/>
    <xf numFmtId="0" fontId="80" fillId="5" borderId="87" xfId="0" applyFont="1" applyFill="1" applyBorder="1"/>
    <xf numFmtId="0" fontId="46" fillId="5" borderId="60" xfId="0" applyFont="1" applyFill="1" applyBorder="1"/>
    <xf numFmtId="0" fontId="46" fillId="5" borderId="1" xfId="0" applyFont="1" applyFill="1" applyBorder="1"/>
    <xf numFmtId="0" fontId="166" fillId="6" borderId="79" xfId="0" applyFont="1" applyFill="1" applyBorder="1" applyAlignment="1">
      <alignment horizontal="center" vertical="center"/>
    </xf>
    <xf numFmtId="0" fontId="167" fillId="3" borderId="56" xfId="0" applyFont="1" applyFill="1" applyBorder="1" applyAlignment="1">
      <alignment horizontal="center" vertical="center"/>
    </xf>
    <xf numFmtId="0" fontId="167" fillId="3" borderId="73" xfId="0" applyFont="1" applyFill="1" applyBorder="1" applyAlignment="1">
      <alignment vertical="center"/>
    </xf>
    <xf numFmtId="0" fontId="168" fillId="3" borderId="56" xfId="0" applyFont="1" applyFill="1" applyBorder="1" applyAlignment="1">
      <alignment horizontal="center" vertical="center"/>
    </xf>
    <xf numFmtId="0" fontId="167" fillId="5" borderId="0" xfId="0" applyNumberFormat="1" applyFont="1" applyFill="1" applyBorder="1" applyAlignment="1">
      <alignment horizontal="center" vertical="center"/>
    </xf>
    <xf numFmtId="11" fontId="167" fillId="5" borderId="33" xfId="0" applyNumberFormat="1" applyFont="1" applyFill="1" applyBorder="1" applyAlignment="1">
      <alignment horizontal="center" vertical="center"/>
    </xf>
    <xf numFmtId="0" fontId="168" fillId="3" borderId="22" xfId="0" applyFont="1" applyFill="1" applyBorder="1" applyAlignment="1">
      <alignment horizontal="center" vertical="center"/>
    </xf>
    <xf numFmtId="0" fontId="167" fillId="5" borderId="45" xfId="0" applyNumberFormat="1" applyFont="1" applyFill="1" applyBorder="1" applyAlignment="1">
      <alignment horizontal="center" vertical="center"/>
    </xf>
    <xf numFmtId="11" fontId="167" fillId="5" borderId="72" xfId="0" applyNumberFormat="1" applyFont="1" applyFill="1" applyBorder="1" applyAlignment="1">
      <alignment horizontal="center" vertical="center"/>
    </xf>
    <xf numFmtId="0" fontId="166" fillId="6" borderId="26" xfId="0" applyFont="1" applyFill="1" applyBorder="1" applyAlignment="1">
      <alignment horizontal="left" vertical="center"/>
    </xf>
    <xf numFmtId="0" fontId="167" fillId="5" borderId="45" xfId="0" applyFont="1" applyFill="1" applyBorder="1" applyAlignment="1">
      <alignment vertical="center"/>
    </xf>
    <xf numFmtId="0" fontId="167" fillId="6" borderId="165" xfId="0" applyFont="1" applyFill="1" applyBorder="1" applyAlignment="1">
      <alignment horizontal="center" vertical="center" wrapText="1"/>
    </xf>
    <xf numFmtId="0" fontId="167" fillId="6" borderId="73" xfId="0" applyFont="1" applyFill="1" applyBorder="1" applyAlignment="1">
      <alignment horizontal="center" vertical="center" wrapText="1"/>
    </xf>
    <xf numFmtId="0" fontId="168" fillId="3" borderId="166" xfId="0" applyFont="1" applyFill="1" applyBorder="1" applyAlignment="1">
      <alignment horizontal="center" vertical="center"/>
    </xf>
    <xf numFmtId="2" fontId="169" fillId="0" borderId="167" xfId="0" applyNumberFormat="1" applyFont="1" applyFill="1" applyBorder="1" applyAlignment="1">
      <alignment horizontal="center" vertical="center"/>
    </xf>
    <xf numFmtId="0" fontId="0" fillId="11" borderId="0" xfId="0" applyFill="1" applyBorder="1" applyAlignment="1">
      <alignment horizontal="center" vertical="center"/>
    </xf>
    <xf numFmtId="0" fontId="0" fillId="11" borderId="45" xfId="0" applyFill="1" applyBorder="1" applyAlignment="1">
      <alignment vertical="center"/>
    </xf>
    <xf numFmtId="0" fontId="13" fillId="6" borderId="0" xfId="0" applyFont="1" applyFill="1" applyBorder="1" applyAlignment="1" applyProtection="1">
      <alignment horizontal="left" vertical="center"/>
      <protection hidden="1"/>
    </xf>
    <xf numFmtId="0" fontId="9" fillId="3" borderId="1" xfId="0" applyFont="1" applyFill="1" applyBorder="1" applyAlignment="1">
      <alignment horizontal="center" vertical="center" wrapText="1"/>
    </xf>
    <xf numFmtId="0" fontId="0" fillId="7" borderId="59" xfId="0" applyFill="1" applyBorder="1" applyAlignment="1">
      <alignment horizontal="center" vertical="center" wrapText="1"/>
    </xf>
    <xf numFmtId="0" fontId="0" fillId="11" borderId="9" xfId="0" applyFill="1" applyBorder="1" applyAlignment="1">
      <alignment vertical="center"/>
    </xf>
    <xf numFmtId="0" fontId="0" fillId="11" borderId="46" xfId="0" applyFill="1" applyBorder="1" applyAlignment="1">
      <alignment vertical="center"/>
    </xf>
    <xf numFmtId="0" fontId="168" fillId="3" borderId="22" xfId="0" applyFont="1" applyFill="1" applyBorder="1" applyAlignment="1">
      <alignment horizontal="centerContinuous"/>
    </xf>
    <xf numFmtId="0" fontId="167" fillId="5" borderId="168" xfId="0" applyNumberFormat="1" applyFont="1" applyFill="1" applyBorder="1" applyAlignment="1">
      <alignment horizontal="center" vertical="center"/>
    </xf>
    <xf numFmtId="0" fontId="166" fillId="6" borderId="163" xfId="0" applyFont="1" applyFill="1" applyBorder="1" applyAlignment="1">
      <alignment horizontal="left" vertical="top"/>
    </xf>
    <xf numFmtId="0" fontId="167" fillId="6" borderId="106" xfId="0" applyFont="1" applyFill="1" applyBorder="1" applyAlignment="1">
      <alignment horizontal="center" vertical="top"/>
    </xf>
    <xf numFmtId="0" fontId="167" fillId="6" borderId="159" xfId="0" applyFont="1" applyFill="1" applyBorder="1" applyAlignment="1">
      <alignment horizontal="center" vertical="top"/>
    </xf>
    <xf numFmtId="0" fontId="167" fillId="3" borderId="58" xfId="0" applyFont="1" applyFill="1" applyBorder="1" applyAlignment="1">
      <alignment horizontal="center" vertical="center"/>
    </xf>
    <xf numFmtId="0" fontId="167" fillId="2" borderId="43" xfId="0" applyFont="1" applyFill="1" applyBorder="1" applyAlignment="1">
      <alignment horizontal="center" vertical="center"/>
    </xf>
    <xf numFmtId="0" fontId="169" fillId="0" borderId="44" xfId="0" applyNumberFormat="1" applyFont="1" applyFill="1" applyBorder="1" applyAlignment="1">
      <alignment horizontal="center" vertical="center"/>
    </xf>
    <xf numFmtId="0" fontId="167" fillId="2" borderId="44" xfId="0" applyNumberFormat="1" applyFont="1" applyFill="1" applyBorder="1" applyAlignment="1">
      <alignment horizontal="center" vertical="center"/>
    </xf>
    <xf numFmtId="1" fontId="167" fillId="3" borderId="167" xfId="0" applyNumberFormat="1" applyFont="1" applyFill="1" applyBorder="1" applyAlignment="1">
      <alignment horizontal="center" vertical="center"/>
    </xf>
    <xf numFmtId="0" fontId="167" fillId="2" borderId="169" xfId="0" applyFont="1" applyFill="1" applyBorder="1" applyAlignment="1">
      <alignment horizontal="center" vertical="center"/>
    </xf>
    <xf numFmtId="0" fontId="169" fillId="0" borderId="170" xfId="0" applyNumberFormat="1" applyFont="1" applyFill="1" applyBorder="1" applyAlignment="1">
      <alignment horizontal="center" vertical="center"/>
    </xf>
    <xf numFmtId="0" fontId="167" fillId="2" borderId="170" xfId="0" applyFont="1" applyFill="1" applyBorder="1" applyAlignment="1">
      <alignment horizontal="center" vertical="center"/>
    </xf>
    <xf numFmtId="0" fontId="166" fillId="6" borderId="171" xfId="0" applyFont="1" applyFill="1" applyBorder="1" applyAlignment="1">
      <alignment horizontal="center" vertical="center"/>
    </xf>
    <xf numFmtId="0" fontId="3" fillId="6" borderId="4" xfId="0" applyFont="1" applyFill="1" applyBorder="1" applyAlignment="1">
      <alignment horizontal="left" vertical="center"/>
    </xf>
    <xf numFmtId="166" fontId="0" fillId="6" borderId="9" xfId="0" applyNumberFormat="1" applyFill="1" applyBorder="1" applyAlignment="1">
      <alignment horizontal="center" vertical="center"/>
    </xf>
    <xf numFmtId="0" fontId="167" fillId="3" borderId="56" xfId="0" applyFont="1" applyFill="1" applyBorder="1" applyAlignment="1">
      <alignment horizontal="center"/>
    </xf>
    <xf numFmtId="0" fontId="169" fillId="7" borderId="103" xfId="0" applyNumberFormat="1" applyFont="1" applyFill="1" applyBorder="1" applyAlignment="1">
      <alignment horizontal="center" vertical="center"/>
    </xf>
    <xf numFmtId="0" fontId="169" fillId="0" borderId="14" xfId="0" applyNumberFormat="1" applyFont="1" applyBorder="1" applyAlignment="1">
      <alignment horizontal="center" vertical="center"/>
    </xf>
    <xf numFmtId="0" fontId="169" fillId="7" borderId="125" xfId="0" applyNumberFormat="1" applyFont="1" applyFill="1" applyBorder="1" applyAlignment="1">
      <alignment horizontal="center" vertical="center"/>
    </xf>
    <xf numFmtId="0" fontId="2" fillId="6" borderId="39" xfId="0" applyFont="1" applyFill="1" applyBorder="1" applyAlignment="1">
      <alignment horizontal="left" vertical="center"/>
    </xf>
    <xf numFmtId="0" fontId="169" fillId="7" borderId="100" xfId="0" applyNumberFormat="1" applyFont="1" applyFill="1" applyBorder="1" applyAlignment="1">
      <alignment horizontal="center" vertical="center"/>
    </xf>
    <xf numFmtId="0" fontId="169" fillId="7" borderId="129" xfId="0" applyNumberFormat="1" applyFont="1" applyFill="1" applyBorder="1" applyAlignment="1">
      <alignment horizontal="center" vertical="center"/>
    </xf>
    <xf numFmtId="0" fontId="0" fillId="3" borderId="5" xfId="0" applyFill="1" applyBorder="1" applyAlignment="1">
      <alignment horizontal="center" vertical="center"/>
    </xf>
    <xf numFmtId="166" fontId="18" fillId="5" borderId="61" xfId="0" applyNumberFormat="1" applyFont="1" applyFill="1" applyBorder="1" applyAlignment="1">
      <alignment horizontal="center" vertical="center"/>
    </xf>
    <xf numFmtId="0" fontId="169" fillId="7" borderId="101" xfId="0" applyNumberFormat="1" applyFont="1" applyFill="1" applyBorder="1" applyAlignment="1">
      <alignment horizontal="center" vertical="center"/>
    </xf>
    <xf numFmtId="0" fontId="169" fillId="0" borderId="172" xfId="0" applyNumberFormat="1" applyFont="1" applyFill="1" applyBorder="1" applyAlignment="1">
      <alignment horizontal="center" vertical="center"/>
    </xf>
    <xf numFmtId="166" fontId="18" fillId="5" borderId="173" xfId="0" applyNumberFormat="1" applyFont="1" applyFill="1" applyBorder="1" applyAlignment="1">
      <alignment horizontal="center" vertical="center"/>
    </xf>
    <xf numFmtId="0" fontId="168" fillId="3" borderId="56" xfId="0" applyFont="1" applyFill="1" applyBorder="1" applyAlignment="1">
      <alignment horizontal="center"/>
    </xf>
    <xf numFmtId="0" fontId="167" fillId="5" borderId="174" xfId="0" applyNumberFormat="1" applyFont="1" applyFill="1" applyBorder="1" applyAlignment="1">
      <alignment horizontal="center" vertical="center"/>
    </xf>
    <xf numFmtId="11" fontId="167" fillId="5" borderId="17" xfId="0" applyNumberFormat="1" applyFont="1" applyFill="1" applyBorder="1" applyAlignment="1">
      <alignment horizontal="center" vertical="center"/>
    </xf>
    <xf numFmtId="0" fontId="167" fillId="5" borderId="132" xfId="0" applyNumberFormat="1" applyFont="1" applyFill="1" applyBorder="1" applyAlignment="1">
      <alignment horizontal="center" vertical="center"/>
    </xf>
    <xf numFmtId="11" fontId="167" fillId="5" borderId="0" xfId="0" applyNumberFormat="1" applyFont="1" applyFill="1" applyBorder="1" applyAlignment="1">
      <alignment horizontal="center" vertical="center"/>
    </xf>
    <xf numFmtId="0" fontId="0" fillId="3" borderId="124" xfId="0" applyFill="1" applyBorder="1" applyAlignment="1">
      <alignment horizontal="center" vertical="center"/>
    </xf>
    <xf numFmtId="1" fontId="18" fillId="5" borderId="61" xfId="0" applyNumberFormat="1" applyFont="1" applyFill="1" applyBorder="1" applyAlignment="1">
      <alignment horizontal="center" vertical="center"/>
    </xf>
    <xf numFmtId="2" fontId="169" fillId="0" borderId="175" xfId="0" applyNumberFormat="1" applyFont="1" applyFill="1" applyBorder="1" applyAlignment="1">
      <alignment horizontal="center" vertical="center"/>
    </xf>
    <xf numFmtId="1" fontId="169" fillId="4" borderId="120" xfId="0" applyNumberFormat="1" applyFont="1" applyFill="1" applyBorder="1" applyAlignment="1">
      <alignment horizontal="center" vertical="center"/>
    </xf>
    <xf numFmtId="0" fontId="2" fillId="5" borderId="176" xfId="0" applyFont="1" applyFill="1" applyBorder="1" applyAlignment="1">
      <alignment horizontal="right" vertical="center"/>
    </xf>
    <xf numFmtId="0" fontId="170" fillId="2" borderId="0" xfId="0" applyFont="1" applyFill="1" applyAlignment="1">
      <alignment horizontal="center"/>
    </xf>
    <xf numFmtId="0" fontId="171" fillId="0" borderId="36" xfId="0" applyNumberFormat="1" applyFont="1" applyFill="1" applyBorder="1" applyAlignment="1">
      <alignment horizontal="center" vertical="center"/>
    </xf>
    <xf numFmtId="0" fontId="171" fillId="0" borderId="0" xfId="0" applyNumberFormat="1" applyFont="1" applyFill="1" applyBorder="1" applyAlignment="1">
      <alignment horizontal="center" vertical="center"/>
    </xf>
    <xf numFmtId="0" fontId="171" fillId="0" borderId="29" xfId="0" applyNumberFormat="1" applyFont="1" applyFill="1" applyBorder="1" applyAlignment="1">
      <alignment horizontal="center" vertical="center"/>
    </xf>
    <xf numFmtId="0" fontId="171" fillId="5" borderId="0" xfId="0" applyNumberFormat="1" applyFont="1" applyFill="1" applyBorder="1" applyAlignment="1">
      <alignment horizontal="center" vertical="center"/>
    </xf>
    <xf numFmtId="0" fontId="171" fillId="5" borderId="29" xfId="0" applyNumberFormat="1" applyFont="1" applyFill="1" applyBorder="1" applyAlignment="1">
      <alignment horizontal="center" vertical="center"/>
    </xf>
    <xf numFmtId="0" fontId="171" fillId="5" borderId="0" xfId="0" applyFont="1" applyFill="1" applyBorder="1" applyAlignment="1">
      <alignment horizontal="left" vertical="center"/>
    </xf>
    <xf numFmtId="0" fontId="171" fillId="0" borderId="159" xfId="0" applyNumberFormat="1" applyFont="1" applyFill="1" applyBorder="1" applyAlignment="1">
      <alignment horizontal="center" vertical="center"/>
    </xf>
    <xf numFmtId="0" fontId="172" fillId="3" borderId="56" xfId="0" applyFont="1" applyFill="1" applyBorder="1" applyAlignment="1">
      <alignment horizontal="center" vertical="center"/>
    </xf>
    <xf numFmtId="0" fontId="173" fillId="5" borderId="85" xfId="0" applyNumberFormat="1" applyFont="1" applyFill="1" applyBorder="1" applyAlignment="1">
      <alignment horizontal="center" vertical="center"/>
    </xf>
    <xf numFmtId="0" fontId="173" fillId="5" borderId="31" xfId="0" applyNumberFormat="1" applyFont="1" applyFill="1" applyBorder="1" applyAlignment="1">
      <alignment horizontal="center" vertical="center"/>
    </xf>
    <xf numFmtId="167" fontId="173" fillId="5" borderId="33" xfId="0" applyNumberFormat="1" applyFont="1" applyFill="1" applyBorder="1" applyAlignment="1">
      <alignment horizontal="center" vertical="center"/>
    </xf>
    <xf numFmtId="0" fontId="172" fillId="3" borderId="56" xfId="0" applyFont="1" applyFill="1" applyBorder="1" applyAlignment="1">
      <alignment horizontal="center"/>
    </xf>
    <xf numFmtId="0" fontId="173" fillId="5" borderId="36" xfId="0" applyNumberFormat="1" applyFont="1" applyFill="1" applyBorder="1" applyAlignment="1">
      <alignment horizontal="center" vertical="center"/>
    </xf>
    <xf numFmtId="0" fontId="173" fillId="5" borderId="0" xfId="0" applyNumberFormat="1" applyFont="1" applyFill="1" applyBorder="1" applyAlignment="1">
      <alignment horizontal="center" vertical="center"/>
    </xf>
    <xf numFmtId="0" fontId="173" fillId="5" borderId="132" xfId="0" applyNumberFormat="1" applyFont="1" applyFill="1" applyBorder="1" applyAlignment="1">
      <alignment horizontal="center" vertical="center"/>
    </xf>
    <xf numFmtId="167" fontId="173" fillId="5" borderId="36" xfId="0" applyNumberFormat="1" applyFont="1" applyFill="1" applyBorder="1" applyAlignment="1">
      <alignment horizontal="center" vertical="center"/>
    </xf>
    <xf numFmtId="0" fontId="172" fillId="3" borderId="22" xfId="0" applyFont="1" applyFill="1" applyBorder="1" applyAlignment="1">
      <alignment horizontal="centerContinuous"/>
    </xf>
    <xf numFmtId="0" fontId="173" fillId="5" borderId="72" xfId="0" applyNumberFormat="1" applyFont="1" applyFill="1" applyBorder="1" applyAlignment="1">
      <alignment horizontal="center" vertical="center"/>
    </xf>
    <xf numFmtId="0" fontId="173" fillId="5" borderId="45" xfId="0" applyNumberFormat="1" applyFont="1" applyFill="1" applyBorder="1" applyAlignment="1">
      <alignment horizontal="center" vertical="center"/>
    </xf>
    <xf numFmtId="0" fontId="173" fillId="6" borderId="124" xfId="0" applyFont="1" applyFill="1" applyBorder="1" applyAlignment="1">
      <alignment horizontal="left" vertical="center"/>
    </xf>
    <xf numFmtId="0" fontId="174" fillId="6" borderId="21" xfId="0" applyFont="1" applyFill="1" applyBorder="1" applyAlignment="1">
      <alignment horizontal="left" vertical="center"/>
    </xf>
    <xf numFmtId="0" fontId="174" fillId="6" borderId="174" xfId="0" applyFont="1" applyFill="1" applyBorder="1" applyAlignment="1">
      <alignment horizontal="center" vertical="center"/>
    </xf>
    <xf numFmtId="0" fontId="173" fillId="3" borderId="177" xfId="0" applyFont="1" applyFill="1" applyBorder="1" applyAlignment="1">
      <alignment horizontal="center" vertical="center"/>
    </xf>
    <xf numFmtId="0" fontId="173" fillId="3" borderId="106" xfId="0" applyFont="1" applyFill="1" applyBorder="1" applyAlignment="1">
      <alignment horizontal="center" vertical="center"/>
    </xf>
    <xf numFmtId="0" fontId="173" fillId="3" borderId="159" xfId="0" applyFont="1" applyFill="1" applyBorder="1" applyAlignment="1">
      <alignment horizontal="center" vertical="center"/>
    </xf>
    <xf numFmtId="0" fontId="171" fillId="0" borderId="174" xfId="0" applyFont="1" applyBorder="1" applyAlignment="1">
      <alignment horizontal="center" vertical="center"/>
    </xf>
    <xf numFmtId="0" fontId="171" fillId="0" borderId="104" xfId="0" applyFont="1" applyBorder="1" applyAlignment="1">
      <alignment horizontal="center" vertical="center"/>
    </xf>
    <xf numFmtId="2" fontId="171" fillId="5" borderId="85" xfId="0" applyNumberFormat="1" applyFont="1" applyFill="1" applyBorder="1" applyAlignment="1">
      <alignment horizontal="center" vertical="center"/>
    </xf>
    <xf numFmtId="0" fontId="173" fillId="6" borderId="106" xfId="0" applyFont="1" applyFill="1" applyBorder="1" applyAlignment="1">
      <alignment horizontal="center" vertical="top"/>
    </xf>
    <xf numFmtId="0" fontId="173" fillId="6" borderId="159" xfId="0" applyFont="1" applyFill="1" applyBorder="1" applyAlignment="1">
      <alignment horizontal="center" vertical="top"/>
    </xf>
    <xf numFmtId="0" fontId="173" fillId="3" borderId="58" xfId="0" applyFont="1" applyFill="1" applyBorder="1" applyAlignment="1">
      <alignment horizontal="center" vertical="center"/>
    </xf>
    <xf numFmtId="0" fontId="173" fillId="2" borderId="43" xfId="0" applyFont="1" applyFill="1" applyBorder="1" applyAlignment="1">
      <alignment horizontal="center" vertical="center"/>
    </xf>
    <xf numFmtId="0" fontId="171" fillId="0" borderId="44" xfId="0" applyNumberFormat="1" applyFont="1" applyFill="1" applyBorder="1" applyAlignment="1">
      <alignment horizontal="center" vertical="center"/>
    </xf>
    <xf numFmtId="0" fontId="173" fillId="2" borderId="44" xfId="0" applyNumberFormat="1" applyFont="1" applyFill="1" applyBorder="1" applyAlignment="1">
      <alignment horizontal="center" vertical="center"/>
    </xf>
    <xf numFmtId="1" fontId="173" fillId="3" borderId="167" xfId="0" applyNumberFormat="1" applyFont="1" applyFill="1" applyBorder="1" applyAlignment="1">
      <alignment horizontal="center" vertical="center"/>
    </xf>
    <xf numFmtId="0" fontId="173" fillId="2" borderId="169" xfId="0" applyFont="1" applyFill="1" applyBorder="1" applyAlignment="1">
      <alignment horizontal="center" vertical="center"/>
    </xf>
    <xf numFmtId="0" fontId="171" fillId="0" borderId="170" xfId="0" applyNumberFormat="1" applyFont="1" applyFill="1" applyBorder="1" applyAlignment="1">
      <alignment horizontal="center" vertical="center"/>
    </xf>
    <xf numFmtId="0" fontId="173" fillId="2" borderId="170" xfId="0" applyFont="1" applyFill="1" applyBorder="1" applyAlignment="1">
      <alignment horizontal="center" vertical="center"/>
    </xf>
    <xf numFmtId="1" fontId="173" fillId="3" borderId="159" xfId="0" applyNumberFormat="1" applyFont="1" applyFill="1" applyBorder="1" applyAlignment="1">
      <alignment horizontal="center" vertical="center" wrapText="1"/>
    </xf>
    <xf numFmtId="1" fontId="173" fillId="3" borderId="178" xfId="0" applyNumberFormat="1" applyFont="1" applyFill="1" applyBorder="1" applyAlignment="1">
      <alignment horizontal="center" vertical="center" wrapText="1"/>
    </xf>
    <xf numFmtId="0" fontId="171" fillId="0" borderId="0" xfId="0" applyFont="1" applyFill="1" applyBorder="1" applyAlignment="1">
      <alignment horizontal="center" vertical="center"/>
    </xf>
    <xf numFmtId="0" fontId="171" fillId="0" borderId="29" xfId="0" applyFont="1" applyFill="1" applyBorder="1" applyAlignment="1">
      <alignment horizontal="center" vertical="center"/>
    </xf>
    <xf numFmtId="0" fontId="171" fillId="5" borderId="36" xfId="0" applyFont="1" applyFill="1" applyBorder="1" applyAlignment="1">
      <alignment horizontal="center" vertical="center"/>
    </xf>
    <xf numFmtId="0" fontId="171" fillId="5" borderId="0" xfId="0" applyFont="1" applyFill="1" applyBorder="1" applyAlignment="1">
      <alignment horizontal="center" vertical="center"/>
    </xf>
    <xf numFmtId="0" fontId="171" fillId="5" borderId="29" xfId="0" applyFont="1" applyFill="1" applyBorder="1" applyAlignment="1">
      <alignment horizontal="center" vertical="center"/>
    </xf>
    <xf numFmtId="0" fontId="171" fillId="5" borderId="159" xfId="0" applyFont="1" applyFill="1" applyBorder="1" applyAlignment="1">
      <alignment horizontal="center" vertical="center"/>
    </xf>
    <xf numFmtId="0" fontId="172" fillId="3" borderId="22" xfId="0" applyFont="1" applyFill="1" applyBorder="1" applyAlignment="1">
      <alignment horizontal="center" vertical="center"/>
    </xf>
    <xf numFmtId="0" fontId="174" fillId="6" borderId="179" xfId="0" applyFont="1" applyFill="1" applyBorder="1" applyAlignment="1">
      <alignment horizontal="left" vertical="center"/>
    </xf>
    <xf numFmtId="0" fontId="174" fillId="6" borderId="37" xfId="0" applyFont="1" applyFill="1" applyBorder="1" applyAlignment="1">
      <alignment horizontal="center" vertical="center"/>
    </xf>
    <xf numFmtId="2" fontId="171" fillId="0" borderId="40" xfId="0" applyNumberFormat="1" applyFont="1" applyBorder="1" applyAlignment="1">
      <alignment horizontal="center" vertical="center"/>
    </xf>
    <xf numFmtId="2" fontId="171" fillId="0" borderId="169" xfId="0" applyNumberFormat="1" applyFont="1" applyBorder="1" applyAlignment="1">
      <alignment horizontal="center" vertical="center"/>
    </xf>
    <xf numFmtId="0" fontId="174" fillId="6" borderId="20" xfId="0" applyFont="1" applyFill="1" applyBorder="1" applyAlignment="1">
      <alignment horizontal="left" vertical="center"/>
    </xf>
    <xf numFmtId="0" fontId="175" fillId="6" borderId="28" xfId="0" applyFont="1" applyFill="1" applyBorder="1"/>
    <xf numFmtId="0" fontId="174" fillId="6" borderId="5" xfId="0" applyFont="1" applyFill="1" applyBorder="1" applyAlignment="1">
      <alignment horizontal="center" vertical="center" wrapText="1"/>
    </xf>
    <xf numFmtId="0" fontId="173" fillId="3" borderId="67" xfId="0" applyFont="1" applyFill="1" applyBorder="1" applyAlignment="1">
      <alignment horizontal="center" vertical="center" wrapText="1"/>
    </xf>
    <xf numFmtId="0" fontId="173" fillId="3" borderId="56" xfId="0" applyFont="1" applyFill="1" applyBorder="1" applyAlignment="1">
      <alignment horizontal="center" vertical="center"/>
    </xf>
    <xf numFmtId="0" fontId="173" fillId="3" borderId="22" xfId="0" applyFont="1" applyFill="1" applyBorder="1" applyAlignment="1">
      <alignment horizontal="center" vertical="center"/>
    </xf>
    <xf numFmtId="0" fontId="176" fillId="4" borderId="180" xfId="0" applyFont="1" applyFill="1" applyBorder="1" applyAlignment="1">
      <alignment horizontal="left" vertical="center"/>
    </xf>
    <xf numFmtId="0" fontId="80" fillId="4" borderId="181" xfId="0" applyFont="1" applyFill="1" applyBorder="1" applyAlignment="1">
      <alignment horizontal="left" vertical="center"/>
    </xf>
    <xf numFmtId="166" fontId="166" fillId="6" borderId="182" xfId="0" applyNumberFormat="1" applyFont="1" applyFill="1" applyBorder="1" applyAlignment="1">
      <alignment horizontal="center" vertical="center"/>
    </xf>
    <xf numFmtId="166" fontId="167" fillId="3" borderId="183" xfId="0" applyNumberFormat="1" applyFont="1" applyFill="1" applyBorder="1" applyAlignment="1">
      <alignment horizontal="center" vertical="center"/>
    </xf>
    <xf numFmtId="0" fontId="169" fillId="0" borderId="100" xfId="0" applyNumberFormat="1" applyFont="1" applyBorder="1" applyAlignment="1">
      <alignment horizontal="center" vertical="center"/>
    </xf>
    <xf numFmtId="166" fontId="167" fillId="3" borderId="184" xfId="0" applyNumberFormat="1" applyFont="1" applyFill="1" applyBorder="1" applyAlignment="1">
      <alignment horizontal="center" vertical="center"/>
    </xf>
    <xf numFmtId="0" fontId="168" fillId="3" borderId="137" xfId="0" applyNumberFormat="1" applyFont="1" applyFill="1" applyBorder="1" applyAlignment="1">
      <alignment horizontal="center" vertical="center"/>
    </xf>
    <xf numFmtId="0" fontId="167" fillId="3" borderId="27" xfId="0" applyFont="1" applyFill="1" applyBorder="1" applyAlignment="1">
      <alignment horizontal="right" vertical="center"/>
    </xf>
    <xf numFmtId="0" fontId="168" fillId="3" borderId="82" xfId="0" applyFont="1" applyFill="1" applyBorder="1" applyAlignment="1">
      <alignment horizontal="left" vertical="center"/>
    </xf>
    <xf numFmtId="0" fontId="168" fillId="3" borderId="184" xfId="0" applyFont="1" applyFill="1" applyBorder="1" applyAlignment="1">
      <alignment horizontal="center" vertical="center"/>
    </xf>
    <xf numFmtId="0" fontId="168" fillId="3" borderId="36" xfId="0" applyNumberFormat="1" applyFont="1" applyFill="1" applyBorder="1" applyAlignment="1">
      <alignment horizontal="left" vertical="center"/>
    </xf>
    <xf numFmtId="0" fontId="167" fillId="3" borderId="9" xfId="0" applyFont="1" applyFill="1" applyBorder="1" applyAlignment="1">
      <alignment vertical="center"/>
    </xf>
    <xf numFmtId="0" fontId="168" fillId="3" borderId="185" xfId="0" applyFont="1" applyFill="1" applyBorder="1" applyAlignment="1">
      <alignment horizontal="center" vertical="center"/>
    </xf>
    <xf numFmtId="0" fontId="168" fillId="3" borderId="72" xfId="0" applyNumberFormat="1" applyFont="1" applyFill="1" applyBorder="1" applyAlignment="1">
      <alignment horizontal="left" vertical="center"/>
    </xf>
    <xf numFmtId="166" fontId="167" fillId="5" borderId="24" xfId="0" applyNumberFormat="1" applyFont="1" applyFill="1" applyBorder="1" applyAlignment="1">
      <alignment horizontal="center" vertical="center"/>
    </xf>
    <xf numFmtId="166" fontId="173" fillId="3" borderId="183" xfId="0" applyNumberFormat="1" applyFont="1" applyFill="1" applyBorder="1" applyAlignment="1">
      <alignment horizontal="center" vertical="center"/>
    </xf>
    <xf numFmtId="166" fontId="173" fillId="3" borderId="184" xfId="0" applyNumberFormat="1" applyFont="1" applyFill="1" applyBorder="1" applyAlignment="1">
      <alignment horizontal="center"/>
    </xf>
    <xf numFmtId="0" fontId="173" fillId="5" borderId="159" xfId="0" applyNumberFormat="1" applyFont="1" applyFill="1" applyBorder="1" applyAlignment="1">
      <alignment horizontal="center" vertical="center"/>
    </xf>
    <xf numFmtId="0" fontId="177" fillId="3" borderId="184" xfId="0" applyFont="1" applyFill="1" applyBorder="1" applyAlignment="1">
      <alignment horizontal="center" vertical="center"/>
    </xf>
    <xf numFmtId="0" fontId="172" fillId="3" borderId="184" xfId="0" applyFont="1" applyFill="1" applyBorder="1" applyAlignment="1">
      <alignment horizontal="center" vertical="center"/>
    </xf>
    <xf numFmtId="0" fontId="173" fillId="3" borderId="186" xfId="0" applyFont="1" applyFill="1" applyBorder="1" applyAlignment="1">
      <alignment horizontal="center" vertical="center"/>
    </xf>
    <xf numFmtId="0" fontId="173" fillId="5" borderId="187" xfId="0" applyNumberFormat="1" applyFont="1" applyFill="1" applyBorder="1" applyAlignment="1">
      <alignment horizontal="center" vertical="center"/>
    </xf>
    <xf numFmtId="0" fontId="2" fillId="2" borderId="0" xfId="0" applyFont="1" applyFill="1" applyBorder="1" applyAlignment="1">
      <alignment vertical="center"/>
    </xf>
    <xf numFmtId="0" fontId="2" fillId="6" borderId="254" xfId="0" applyFont="1" applyFill="1" applyBorder="1" applyAlignment="1">
      <alignment horizontal="center" vertical="center"/>
    </xf>
    <xf numFmtId="0" fontId="165" fillId="2" borderId="255" xfId="0" applyFont="1" applyFill="1" applyBorder="1" applyAlignment="1">
      <alignment horizontal="right"/>
    </xf>
    <xf numFmtId="0" fontId="13" fillId="6" borderId="256" xfId="0" applyFont="1" applyFill="1" applyBorder="1"/>
    <xf numFmtId="0" fontId="2" fillId="3" borderId="257" xfId="0" applyFont="1" applyFill="1" applyBorder="1" applyAlignment="1">
      <alignment horizontal="center" vertical="center" wrapText="1"/>
    </xf>
    <xf numFmtId="2" fontId="0" fillId="5" borderId="247" xfId="0" applyNumberFormat="1" applyFill="1" applyBorder="1" applyAlignment="1">
      <alignment horizontal="center" vertical="center"/>
    </xf>
    <xf numFmtId="2" fontId="0" fillId="5" borderId="258" xfId="0" applyNumberFormat="1" applyFill="1" applyBorder="1" applyAlignment="1">
      <alignment horizontal="center" vertical="center"/>
    </xf>
    <xf numFmtId="2" fontId="2" fillId="5" borderId="9" xfId="0" applyNumberFormat="1" applyFont="1" applyFill="1" applyBorder="1" applyAlignment="1">
      <alignment horizontal="center" vertical="center"/>
    </xf>
    <xf numFmtId="2" fontId="2" fillId="5" borderId="46" xfId="0" applyNumberFormat="1" applyFont="1" applyFill="1" applyBorder="1" applyAlignment="1">
      <alignment horizontal="center" vertical="center"/>
    </xf>
    <xf numFmtId="0" fontId="0" fillId="13" borderId="259" xfId="0" applyFill="1" applyBorder="1"/>
    <xf numFmtId="0" fontId="0" fillId="13" borderId="188" xfId="0" applyFill="1" applyBorder="1"/>
    <xf numFmtId="0" fontId="176" fillId="12" borderId="260" xfId="0" applyFont="1" applyFill="1" applyBorder="1"/>
    <xf numFmtId="0" fontId="167" fillId="12" borderId="189" xfId="0" applyFont="1" applyFill="1" applyBorder="1" applyAlignment="1">
      <alignment vertical="top"/>
    </xf>
    <xf numFmtId="0" fontId="3" fillId="3" borderId="31" xfId="0" applyFont="1" applyFill="1" applyBorder="1" applyAlignment="1">
      <alignment horizontal="left"/>
    </xf>
    <xf numFmtId="166" fontId="2" fillId="5" borderId="0" xfId="0" applyNumberFormat="1" applyFont="1" applyFill="1" applyAlignment="1">
      <alignment horizontal="center"/>
    </xf>
    <xf numFmtId="0" fontId="178" fillId="10" borderId="190" xfId="0" applyNumberFormat="1" applyFont="1" applyFill="1" applyBorder="1" applyAlignment="1">
      <alignment horizontal="center" vertical="center"/>
    </xf>
    <xf numFmtId="0" fontId="178" fillId="10" borderId="191" xfId="0" applyNumberFormat="1" applyFont="1" applyFill="1" applyBorder="1" applyAlignment="1">
      <alignment horizontal="center" vertical="center"/>
    </xf>
    <xf numFmtId="0" fontId="178" fillId="10" borderId="191" xfId="0" applyNumberFormat="1" applyFont="1" applyFill="1" applyBorder="1" applyAlignment="1">
      <alignment horizontal="center"/>
    </xf>
    <xf numFmtId="0" fontId="2" fillId="5" borderId="78" xfId="0" applyFont="1" applyFill="1" applyBorder="1"/>
    <xf numFmtId="0" fontId="0" fillId="15" borderId="261" xfId="0" applyFill="1" applyBorder="1" applyAlignment="1">
      <alignment horizontal="left" vertical="center"/>
    </xf>
    <xf numFmtId="0" fontId="0" fillId="16" borderId="262" xfId="0" applyFill="1" applyBorder="1" applyAlignment="1">
      <alignment horizontal="right" vertical="center"/>
    </xf>
    <xf numFmtId="0" fontId="3" fillId="2" borderId="0" xfId="0" applyFont="1" applyFill="1" applyBorder="1" applyAlignment="1">
      <alignment horizontal="left" vertical="center"/>
    </xf>
    <xf numFmtId="0" fontId="3" fillId="17" borderId="192" xfId="0" applyFont="1" applyFill="1" applyBorder="1" applyAlignment="1">
      <alignment horizontal="center"/>
    </xf>
    <xf numFmtId="0" fontId="2" fillId="18" borderId="193" xfId="0" applyFont="1" applyFill="1" applyBorder="1" applyAlignment="1">
      <alignment horizontal="left" vertical="center"/>
    </xf>
    <xf numFmtId="1" fontId="179" fillId="19" borderId="194" xfId="0" applyNumberFormat="1" applyFont="1" applyFill="1" applyBorder="1" applyAlignment="1">
      <alignment horizontal="right" vertical="center"/>
    </xf>
    <xf numFmtId="0" fontId="3" fillId="17" borderId="195" xfId="0" applyFont="1" applyFill="1" applyBorder="1" applyAlignment="1">
      <alignment horizontal="right" vertical="center"/>
    </xf>
    <xf numFmtId="0" fontId="132" fillId="20" borderId="196" xfId="0" applyFont="1" applyFill="1" applyBorder="1" applyAlignment="1">
      <alignment horizontal="center" wrapText="1"/>
    </xf>
    <xf numFmtId="0" fontId="13" fillId="17" borderId="195" xfId="0" applyFont="1" applyFill="1" applyBorder="1" applyAlignment="1">
      <alignment horizontal="right" vertical="center"/>
    </xf>
    <xf numFmtId="0" fontId="166" fillId="14" borderId="0" xfId="0" applyFont="1" applyFill="1" applyBorder="1" applyAlignment="1">
      <alignment horizontal="center"/>
    </xf>
    <xf numFmtId="0" fontId="0" fillId="20" borderId="196" xfId="0" applyFill="1" applyBorder="1"/>
    <xf numFmtId="0" fontId="0" fillId="14" borderId="0" xfId="0" applyFill="1" applyBorder="1"/>
    <xf numFmtId="0" fontId="0" fillId="0" borderId="0" xfId="0" applyBorder="1"/>
    <xf numFmtId="0" fontId="24" fillId="21" borderId="197" xfId="0" applyFont="1" applyFill="1" applyBorder="1" applyAlignment="1">
      <alignment vertical="center"/>
    </xf>
    <xf numFmtId="0" fontId="24" fillId="22" borderId="198" xfId="0" applyFont="1" applyFill="1" applyBorder="1" applyAlignment="1">
      <alignment vertical="center"/>
    </xf>
    <xf numFmtId="0" fontId="0" fillId="23" borderId="199" xfId="0" applyFill="1" applyBorder="1" applyAlignment="1">
      <alignment vertical="center"/>
    </xf>
    <xf numFmtId="0" fontId="24" fillId="24" borderId="192" xfId="0" applyFont="1" applyFill="1" applyBorder="1" applyAlignment="1">
      <alignment horizontal="center" vertical="center"/>
    </xf>
    <xf numFmtId="0" fontId="13" fillId="25" borderId="200" xfId="0" applyFont="1" applyFill="1" applyBorder="1" applyAlignment="1">
      <alignment horizontal="center" vertical="center"/>
    </xf>
    <xf numFmtId="0" fontId="0" fillId="26" borderId="201" xfId="0" applyFill="1" applyBorder="1" applyAlignment="1">
      <alignment vertical="center"/>
    </xf>
    <xf numFmtId="0" fontId="0" fillId="20" borderId="196" xfId="0" applyFill="1" applyBorder="1" applyAlignment="1">
      <alignment horizontal="center" vertical="center"/>
    </xf>
    <xf numFmtId="0" fontId="24" fillId="21" borderId="197" xfId="0" applyFont="1" applyFill="1" applyBorder="1" applyAlignment="1">
      <alignment horizontal="left" vertical="center"/>
    </xf>
    <xf numFmtId="0" fontId="126" fillId="22" borderId="198" xfId="0" applyFont="1" applyFill="1" applyBorder="1" applyAlignment="1">
      <alignment horizontal="center" vertical="center"/>
    </xf>
    <xf numFmtId="0" fontId="0" fillId="23" borderId="199" xfId="0" applyFill="1" applyBorder="1" applyAlignment="1">
      <alignment horizontal="center" vertical="top"/>
    </xf>
    <xf numFmtId="0" fontId="143" fillId="0" borderId="0" xfId="0" applyFont="1" applyFill="1" applyBorder="1" applyAlignment="1">
      <alignment horizontal="center" vertical="center"/>
    </xf>
    <xf numFmtId="167" fontId="144" fillId="5" borderId="12" xfId="0" applyNumberFormat="1" applyFont="1" applyFill="1" applyBorder="1" applyAlignment="1">
      <alignment horizontal="center" vertical="center"/>
    </xf>
    <xf numFmtId="0" fontId="144" fillId="5" borderId="72" xfId="0" applyFont="1" applyFill="1" applyBorder="1" applyAlignment="1">
      <alignment horizontal="center" vertical="center"/>
    </xf>
    <xf numFmtId="0" fontId="144" fillId="5" borderId="45" xfId="0" applyFont="1" applyFill="1" applyBorder="1" applyAlignment="1">
      <alignment horizontal="center" vertical="center"/>
    </xf>
    <xf numFmtId="0" fontId="144" fillId="5" borderId="0" xfId="0" applyFont="1" applyFill="1" applyBorder="1" applyAlignment="1">
      <alignment horizontal="center" vertical="center"/>
    </xf>
    <xf numFmtId="0" fontId="144" fillId="5" borderId="132" xfId="0" applyFont="1" applyFill="1" applyBorder="1" applyAlignment="1">
      <alignment horizontal="center" vertical="center"/>
    </xf>
    <xf numFmtId="167" fontId="144" fillId="5" borderId="23" xfId="0" applyNumberFormat="1" applyFont="1" applyFill="1" applyBorder="1" applyAlignment="1">
      <alignment horizontal="center" vertical="center"/>
    </xf>
    <xf numFmtId="166" fontId="165" fillId="2" borderId="263" xfId="0" applyNumberFormat="1" applyFont="1" applyFill="1" applyBorder="1" applyAlignment="1">
      <alignment horizontal="right"/>
    </xf>
    <xf numFmtId="166" fontId="165" fillId="2" borderId="264" xfId="0" applyNumberFormat="1" applyFont="1" applyFill="1" applyBorder="1" applyAlignment="1">
      <alignment horizontal="right"/>
    </xf>
    <xf numFmtId="0" fontId="0" fillId="0" borderId="0" xfId="0" applyAlignment="1"/>
    <xf numFmtId="0" fontId="48" fillId="8" borderId="0" xfId="0" applyFont="1" applyFill="1" applyBorder="1" applyAlignment="1">
      <alignment horizontal="center" vertical="center"/>
    </xf>
    <xf numFmtId="0" fontId="47" fillId="5" borderId="60" xfId="0" applyFont="1" applyFill="1" applyBorder="1" applyAlignment="1">
      <alignment horizontal="center" vertical="center"/>
    </xf>
    <xf numFmtId="0" fontId="46" fillId="7" borderId="60" xfId="0" applyFont="1" applyFill="1" applyBorder="1" applyAlignment="1">
      <alignment horizontal="center" vertical="center"/>
    </xf>
    <xf numFmtId="0" fontId="46" fillId="7" borderId="1" xfId="0" applyFont="1" applyFill="1" applyBorder="1" applyAlignment="1">
      <alignment horizontal="center" vertical="center"/>
    </xf>
    <xf numFmtId="0" fontId="46" fillId="0" borderId="60" xfId="0" applyFont="1" applyFill="1" applyBorder="1" applyAlignment="1">
      <alignment horizontal="center" vertical="center"/>
    </xf>
    <xf numFmtId="166" fontId="2" fillId="0" borderId="0" xfId="0" applyNumberFormat="1" applyFont="1" applyFill="1"/>
    <xf numFmtId="166" fontId="2" fillId="0" borderId="0" xfId="0" quotePrefix="1" applyNumberFormat="1" applyFont="1" applyFill="1"/>
    <xf numFmtId="0" fontId="0" fillId="2" borderId="81" xfId="0" applyFill="1" applyBorder="1" applyAlignment="1">
      <alignment vertical="center"/>
    </xf>
    <xf numFmtId="0" fontId="0" fillId="2" borderId="96" xfId="0" applyFill="1" applyBorder="1"/>
    <xf numFmtId="0" fontId="2" fillId="3" borderId="0" xfId="0" applyFont="1" applyFill="1" applyBorder="1" applyAlignment="1">
      <alignment vertical="center"/>
    </xf>
    <xf numFmtId="49" fontId="2" fillId="5" borderId="0" xfId="0" applyNumberFormat="1" applyFont="1" applyFill="1" applyBorder="1" applyAlignment="1">
      <alignment horizontal="left"/>
    </xf>
    <xf numFmtId="0" fontId="0" fillId="3" borderId="21" xfId="0" applyNumberFormat="1" applyFill="1" applyBorder="1" applyAlignment="1">
      <alignment horizontal="left" vertical="center"/>
    </xf>
    <xf numFmtId="0" fontId="0" fillId="3" borderId="21" xfId="0" applyNumberFormat="1" applyFill="1" applyBorder="1" applyAlignment="1">
      <alignment horizontal="center" vertical="center"/>
    </xf>
    <xf numFmtId="0" fontId="0" fillId="3" borderId="21" xfId="0" applyNumberFormat="1" applyFill="1" applyBorder="1" applyAlignment="1">
      <alignment horizontal="right" vertical="center"/>
    </xf>
    <xf numFmtId="0" fontId="3" fillId="3" borderId="21" xfId="0" applyNumberFormat="1" applyFont="1" applyFill="1" applyBorder="1" applyAlignment="1">
      <alignment horizontal="left" vertical="center"/>
    </xf>
    <xf numFmtId="0" fontId="3" fillId="16" borderId="265" xfId="0" applyFont="1" applyFill="1" applyBorder="1" applyAlignment="1"/>
    <xf numFmtId="49" fontId="2" fillId="3" borderId="56" xfId="0" applyNumberFormat="1" applyFont="1" applyFill="1" applyBorder="1" applyAlignment="1">
      <alignment horizontal="center" vertical="center"/>
    </xf>
    <xf numFmtId="49" fontId="2" fillId="3" borderId="22" xfId="0" applyNumberFormat="1" applyFont="1" applyFill="1" applyBorder="1" applyAlignment="1">
      <alignment horizontal="center" vertical="center"/>
    </xf>
    <xf numFmtId="0" fontId="0" fillId="2" borderId="0" xfId="0" applyNumberFormat="1" applyFill="1" applyAlignment="1">
      <alignment horizontal="center"/>
    </xf>
    <xf numFmtId="1" fontId="180" fillId="27" borderId="0" xfId="0" applyNumberFormat="1" applyFont="1" applyFill="1"/>
    <xf numFmtId="1" fontId="180" fillId="28" borderId="0" xfId="0" applyNumberFormat="1" applyFont="1" applyFill="1"/>
    <xf numFmtId="1" fontId="180" fillId="29" borderId="0" xfId="0" applyNumberFormat="1" applyFont="1" applyFill="1"/>
    <xf numFmtId="0" fontId="2" fillId="2" borderId="0" xfId="0" applyNumberFormat="1" applyFont="1" applyFill="1" applyAlignment="1">
      <alignment horizontal="center"/>
    </xf>
    <xf numFmtId="0" fontId="181" fillId="2" borderId="0" xfId="0" applyNumberFormat="1" applyFont="1" applyFill="1" applyAlignment="1">
      <alignment horizontal="center"/>
    </xf>
    <xf numFmtId="0" fontId="181" fillId="2" borderId="0" xfId="0" applyNumberFormat="1" applyFont="1" applyFill="1" applyAlignment="1">
      <alignment horizontal="right"/>
    </xf>
    <xf numFmtId="1" fontId="180" fillId="30" borderId="0" xfId="0" applyNumberFormat="1" applyFont="1" applyFill="1"/>
    <xf numFmtId="1" fontId="180" fillId="31" borderId="0" xfId="0" applyNumberFormat="1" applyFont="1" applyFill="1"/>
    <xf numFmtId="1" fontId="180" fillId="14" borderId="0" xfId="0" applyNumberFormat="1" applyFont="1" applyFill="1"/>
    <xf numFmtId="1" fontId="180" fillId="32" borderId="0" xfId="0" applyNumberFormat="1" applyFont="1" applyFill="1"/>
    <xf numFmtId="1" fontId="180" fillId="33" borderId="0" xfId="0" applyNumberFormat="1" applyFont="1" applyFill="1"/>
    <xf numFmtId="0" fontId="0" fillId="34" borderId="0" xfId="0" applyFill="1" applyAlignment="1">
      <alignment horizontal="center"/>
    </xf>
    <xf numFmtId="0" fontId="0" fillId="34" borderId="0" xfId="0" applyNumberFormat="1" applyFill="1" applyAlignment="1">
      <alignment horizontal="center"/>
    </xf>
    <xf numFmtId="0" fontId="0" fillId="34" borderId="0" xfId="0" applyNumberFormat="1" applyFill="1" applyAlignment="1">
      <alignment horizontal="left"/>
    </xf>
    <xf numFmtId="0" fontId="2" fillId="34" borderId="0" xfId="0" applyNumberFormat="1" applyFont="1" applyFill="1" applyAlignment="1">
      <alignment horizontal="center"/>
    </xf>
    <xf numFmtId="0" fontId="5" fillId="34" borderId="0" xfId="0" applyNumberFormat="1" applyFont="1" applyFill="1" applyAlignment="1">
      <alignment vertical="top"/>
    </xf>
    <xf numFmtId="0" fontId="51" fillId="34" borderId="0" xfId="0" applyNumberFormat="1" applyFont="1" applyFill="1" applyBorder="1" applyAlignment="1">
      <alignment horizontal="center" vertical="top" wrapText="1"/>
    </xf>
    <xf numFmtId="0" fontId="46" fillId="34" borderId="0" xfId="0" applyNumberFormat="1" applyFont="1" applyFill="1" applyAlignment="1">
      <alignment horizontal="center" vertical="top" wrapText="1"/>
    </xf>
    <xf numFmtId="0" fontId="5" fillId="34" borderId="0" xfId="0" applyNumberFormat="1" applyFont="1" applyFill="1" applyAlignment="1">
      <alignment horizontal="center" vertical="top" wrapText="1"/>
    </xf>
    <xf numFmtId="0" fontId="51" fillId="34" borderId="0" xfId="0" applyNumberFormat="1" applyFont="1" applyFill="1" applyBorder="1" applyAlignment="1">
      <alignment horizontal="left" vertical="top" wrapText="1"/>
    </xf>
    <xf numFmtId="0" fontId="51" fillId="34" borderId="0" xfId="0" applyNumberFormat="1" applyFont="1" applyFill="1" applyBorder="1" applyAlignment="1">
      <alignment horizontal="right" vertical="top" wrapText="1"/>
    </xf>
    <xf numFmtId="0" fontId="51" fillId="34" borderId="0" xfId="0" applyFont="1" applyFill="1" applyBorder="1" applyAlignment="1">
      <alignment horizontal="center" vertical="top" wrapText="1"/>
    </xf>
    <xf numFmtId="0" fontId="182" fillId="34" borderId="0" xfId="0" applyNumberFormat="1" applyFont="1" applyFill="1" applyAlignment="1">
      <alignment horizontal="center"/>
    </xf>
    <xf numFmtId="0" fontId="6" fillId="34" borderId="0" xfId="0" applyNumberFormat="1" applyFont="1" applyFill="1" applyBorder="1" applyAlignment="1">
      <alignment horizontal="center" vertical="top" wrapText="1"/>
    </xf>
    <xf numFmtId="0" fontId="2" fillId="34" borderId="0" xfId="0" applyNumberFormat="1" applyFont="1" applyFill="1" applyBorder="1" applyAlignment="1">
      <alignment horizontal="center" vertical="top" wrapText="1"/>
    </xf>
    <xf numFmtId="0" fontId="182" fillId="34" borderId="0" xfId="0" applyNumberFormat="1" applyFont="1" applyFill="1" applyBorder="1" applyAlignment="1">
      <alignment horizontal="center" vertical="top" wrapText="1"/>
    </xf>
    <xf numFmtId="0" fontId="2" fillId="34" borderId="0" xfId="0" applyNumberFormat="1" applyFont="1" applyFill="1" applyAlignment="1">
      <alignment horizontal="left"/>
    </xf>
    <xf numFmtId="0" fontId="0" fillId="34" borderId="0" xfId="0" applyNumberFormat="1" applyFill="1"/>
    <xf numFmtId="166" fontId="0" fillId="34" borderId="0" xfId="0" applyNumberFormat="1" applyFill="1"/>
    <xf numFmtId="0" fontId="2" fillId="34" borderId="0" xfId="0" applyNumberFormat="1" applyFont="1" applyFill="1"/>
    <xf numFmtId="0" fontId="5" fillId="34" borderId="0" xfId="0" applyNumberFormat="1" applyFont="1" applyFill="1" applyBorder="1" applyAlignment="1">
      <alignment vertical="top"/>
    </xf>
    <xf numFmtId="0" fontId="5" fillId="34" borderId="0" xfId="0" applyNumberFormat="1" applyFont="1" applyFill="1" applyBorder="1" applyAlignment="1">
      <alignment horizontal="center" vertical="top" wrapText="1"/>
    </xf>
    <xf numFmtId="0" fontId="5" fillId="34" borderId="0" xfId="0" applyNumberFormat="1" applyFont="1" applyFill="1" applyAlignment="1">
      <alignment horizontal="center"/>
    </xf>
    <xf numFmtId="0" fontId="5" fillId="34" borderId="0" xfId="0" applyNumberFormat="1" applyFont="1" applyFill="1" applyBorder="1" applyAlignment="1">
      <alignment vertical="top" wrapText="1"/>
    </xf>
    <xf numFmtId="0" fontId="5" fillId="34" borderId="0" xfId="0" applyNumberFormat="1" applyFont="1" applyFill="1" applyBorder="1" applyAlignment="1">
      <alignment horizontal="right" vertical="top" wrapText="1"/>
    </xf>
    <xf numFmtId="0" fontId="5" fillId="34" borderId="0" xfId="0" applyFont="1" applyFill="1"/>
    <xf numFmtId="0" fontId="0" fillId="34" borderId="0" xfId="0" applyFill="1" applyAlignment="1">
      <alignment horizontal="left"/>
    </xf>
    <xf numFmtId="0" fontId="51" fillId="34" borderId="0" xfId="0" applyNumberFormat="1" applyFont="1" applyFill="1" applyBorder="1" applyAlignment="1">
      <alignment vertical="top" wrapText="1"/>
    </xf>
    <xf numFmtId="0" fontId="5" fillId="34" borderId="0" xfId="0" applyNumberFormat="1" applyFont="1" applyFill="1" applyBorder="1"/>
    <xf numFmtId="0" fontId="5" fillId="34" borderId="0" xfId="0" applyNumberFormat="1" applyFont="1" applyFill="1" applyBorder="1" applyAlignment="1">
      <alignment horizontal="right"/>
    </xf>
    <xf numFmtId="0" fontId="2" fillId="34" borderId="0" xfId="0" applyNumberFormat="1" applyFont="1" applyFill="1" applyBorder="1" applyAlignment="1">
      <alignment vertical="top" wrapText="1"/>
    </xf>
    <xf numFmtId="0" fontId="2" fillId="34" borderId="0" xfId="0" applyFont="1" applyFill="1"/>
    <xf numFmtId="0" fontId="0" fillId="34" borderId="0" xfId="0" applyNumberFormat="1" applyFill="1" applyAlignment="1"/>
    <xf numFmtId="0" fontId="2" fillId="34" borderId="0" xfId="0" applyNumberFormat="1" applyFont="1" applyFill="1" applyAlignment="1">
      <alignment horizontal="right"/>
    </xf>
    <xf numFmtId="0" fontId="0" fillId="34" borderId="0" xfId="0" applyFill="1"/>
    <xf numFmtId="49" fontId="2" fillId="3" borderId="21" xfId="0" applyNumberFormat="1" applyFont="1" applyFill="1" applyBorder="1" applyAlignment="1">
      <alignment horizontal="center" vertical="center"/>
    </xf>
    <xf numFmtId="49" fontId="2" fillId="3" borderId="21" xfId="0" applyNumberFormat="1" applyFont="1" applyFill="1" applyBorder="1" applyAlignment="1">
      <alignment horizontal="left" vertical="center"/>
    </xf>
    <xf numFmtId="49" fontId="183" fillId="3" borderId="21" xfId="0" applyNumberFormat="1" applyFont="1" applyFill="1" applyBorder="1" applyAlignment="1">
      <alignment horizontal="left" vertical="center"/>
    </xf>
    <xf numFmtId="0" fontId="24" fillId="3" borderId="0" xfId="0" applyFont="1" applyFill="1" applyAlignment="1">
      <alignment horizontal="right"/>
    </xf>
    <xf numFmtId="0" fontId="3" fillId="6" borderId="4" xfId="0" applyFont="1" applyFill="1" applyBorder="1" applyAlignment="1">
      <alignment horizontal="left" vertical="top"/>
    </xf>
    <xf numFmtId="0" fontId="2" fillId="3" borderId="55" xfId="0" applyFont="1" applyFill="1" applyBorder="1" applyAlignment="1">
      <alignment vertical="center"/>
    </xf>
    <xf numFmtId="167" fontId="0" fillId="5" borderId="122" xfId="0" applyNumberFormat="1" applyFill="1" applyBorder="1" applyAlignment="1">
      <alignment horizontal="center" vertical="center"/>
    </xf>
    <xf numFmtId="0" fontId="2" fillId="3" borderId="0" xfId="0" applyNumberFormat="1" applyFont="1" applyFill="1" applyBorder="1" applyAlignment="1">
      <alignment horizontal="left" vertical="center"/>
    </xf>
    <xf numFmtId="0" fontId="2" fillId="5" borderId="0" xfId="0" applyFont="1" applyFill="1"/>
    <xf numFmtId="168" fontId="0" fillId="0" borderId="0" xfId="0" applyNumberFormat="1" applyAlignment="1">
      <alignment horizontal="center" vertical="justify"/>
    </xf>
    <xf numFmtId="168" fontId="0" fillId="0" borderId="0" xfId="0" applyNumberFormat="1"/>
    <xf numFmtId="0" fontId="0" fillId="5" borderId="0" xfId="0" applyNumberFormat="1" applyFill="1" applyAlignment="1">
      <alignment horizontal="center"/>
    </xf>
    <xf numFmtId="0" fontId="167" fillId="3" borderId="202" xfId="0" applyFont="1" applyFill="1" applyBorder="1" applyAlignment="1">
      <alignment horizontal="center" vertical="center"/>
    </xf>
    <xf numFmtId="0" fontId="167" fillId="3" borderId="203" xfId="0" applyFont="1" applyFill="1" applyBorder="1" applyAlignment="1">
      <alignment horizontal="center" vertical="center"/>
    </xf>
    <xf numFmtId="0" fontId="2" fillId="3" borderId="2" xfId="0" applyFont="1" applyFill="1" applyBorder="1" applyAlignment="1">
      <alignment horizontal="center" vertical="center"/>
    </xf>
    <xf numFmtId="0" fontId="3" fillId="6" borderId="108" xfId="0" applyFont="1" applyFill="1" applyBorder="1" applyAlignment="1">
      <alignment horizontal="center" vertical="center"/>
    </xf>
    <xf numFmtId="0" fontId="3" fillId="6" borderId="20" xfId="0" applyFont="1" applyFill="1" applyBorder="1" applyAlignment="1">
      <alignment horizontal="center" vertical="center"/>
    </xf>
    <xf numFmtId="0" fontId="110" fillId="3" borderId="16" xfId="0" applyFont="1" applyFill="1" applyBorder="1" applyAlignment="1">
      <alignment horizontal="center" vertical="distributed"/>
    </xf>
    <xf numFmtId="0" fontId="110" fillId="3" borderId="104" xfId="0" applyFont="1" applyFill="1" applyBorder="1" applyAlignment="1">
      <alignment horizontal="centerContinuous" vertical="center"/>
    </xf>
    <xf numFmtId="168" fontId="0" fillId="5" borderId="19" xfId="0" applyNumberFormat="1" applyFill="1" applyBorder="1" applyAlignment="1">
      <alignment horizontal="center" vertical="center"/>
    </xf>
    <xf numFmtId="0" fontId="5" fillId="3" borderId="204" xfId="0" applyFont="1" applyFill="1" applyBorder="1" applyAlignment="1">
      <alignment horizontal="centerContinuous" vertical="center"/>
    </xf>
    <xf numFmtId="0" fontId="2" fillId="3" borderId="205" xfId="0" applyFont="1" applyFill="1" applyBorder="1" applyAlignment="1">
      <alignment horizontal="right" vertical="center"/>
    </xf>
    <xf numFmtId="0" fontId="2" fillId="3" borderId="45" xfId="0" applyFont="1" applyFill="1" applyBorder="1" applyAlignment="1">
      <alignment horizontal="right" vertical="center"/>
    </xf>
    <xf numFmtId="0" fontId="2" fillId="3" borderId="2" xfId="0" applyFont="1" applyFill="1" applyBorder="1" applyAlignment="1">
      <alignment horizontal="center" wrapText="1"/>
    </xf>
    <xf numFmtId="0" fontId="2" fillId="3" borderId="0" xfId="0" applyFont="1" applyFill="1" applyBorder="1" applyAlignment="1">
      <alignment horizontal="left" vertical="center"/>
    </xf>
    <xf numFmtId="0" fontId="2" fillId="3" borderId="0" xfId="0" applyNumberFormat="1" applyFont="1" applyFill="1" applyBorder="1" applyAlignment="1">
      <alignment horizontal="right" vertical="center"/>
    </xf>
    <xf numFmtId="0" fontId="2" fillId="2" borderId="0" xfId="0" applyFont="1" applyFill="1" applyAlignment="1">
      <alignment horizontal="center"/>
    </xf>
    <xf numFmtId="172" fontId="5" fillId="2" borderId="0" xfId="0" applyNumberFormat="1" applyFont="1" applyFill="1"/>
    <xf numFmtId="0" fontId="174" fillId="6" borderId="37" xfId="0" applyFont="1" applyFill="1" applyBorder="1" applyAlignment="1">
      <alignment horizontal="center" vertical="center" wrapText="1"/>
    </xf>
    <xf numFmtId="166" fontId="13" fillId="6" borderId="45" xfId="0" applyNumberFormat="1" applyFont="1" applyFill="1" applyBorder="1" applyAlignment="1">
      <alignment horizontal="left" vertical="center"/>
    </xf>
    <xf numFmtId="0" fontId="5" fillId="6" borderId="45" xfId="0" applyFont="1" applyFill="1" applyBorder="1" applyAlignment="1">
      <alignment horizontal="center" vertical="center"/>
    </xf>
    <xf numFmtId="0" fontId="5" fillId="6" borderId="46" xfId="0" applyFont="1" applyFill="1" applyBorder="1" applyAlignment="1">
      <alignment horizontal="center" vertical="center"/>
    </xf>
    <xf numFmtId="0" fontId="175" fillId="5" borderId="206" xfId="0" applyNumberFormat="1" applyFont="1" applyFill="1" applyBorder="1" applyAlignment="1">
      <alignment horizontal="center" vertical="center"/>
    </xf>
    <xf numFmtId="0" fontId="7" fillId="8" borderId="266" xfId="0" applyFont="1" applyFill="1" applyBorder="1" applyAlignment="1">
      <alignment vertical="center"/>
    </xf>
    <xf numFmtId="0" fontId="7" fillId="8" borderId="267" xfId="0" applyFont="1" applyFill="1" applyBorder="1" applyAlignment="1">
      <alignment vertical="center"/>
    </xf>
    <xf numFmtId="0" fontId="7" fillId="8" borderId="268" xfId="0" applyFont="1" applyFill="1" applyBorder="1" applyAlignment="1">
      <alignment vertical="center"/>
    </xf>
    <xf numFmtId="0" fontId="7" fillId="8" borderId="269" xfId="0" applyFont="1" applyFill="1" applyBorder="1" applyAlignment="1">
      <alignment vertical="center"/>
    </xf>
    <xf numFmtId="0" fontId="7" fillId="8" borderId="270" xfId="0" applyFont="1" applyFill="1" applyBorder="1" applyAlignment="1">
      <alignment vertical="center"/>
    </xf>
    <xf numFmtId="167" fontId="38" fillId="10" borderId="271" xfId="0" applyNumberFormat="1" applyFont="1" applyFill="1" applyBorder="1" applyAlignment="1">
      <alignment horizontal="center" vertical="center"/>
    </xf>
    <xf numFmtId="167" fontId="38" fillId="10" borderId="272" xfId="0" applyNumberFormat="1" applyFont="1" applyFill="1" applyBorder="1" applyAlignment="1">
      <alignment horizontal="center" vertical="center"/>
    </xf>
    <xf numFmtId="166" fontId="167" fillId="3" borderId="202" xfId="0" applyNumberFormat="1" applyFont="1" applyFill="1" applyBorder="1" applyAlignment="1">
      <alignment horizontal="center" vertical="center"/>
    </xf>
    <xf numFmtId="1" fontId="167" fillId="3" borderId="207" xfId="0" applyNumberFormat="1" applyFont="1" applyFill="1" applyBorder="1" applyAlignment="1">
      <alignment horizontal="center" vertical="center" wrapText="1"/>
    </xf>
    <xf numFmtId="0" fontId="166" fillId="6" borderId="26" xfId="0" applyFont="1" applyFill="1" applyBorder="1" applyAlignment="1">
      <alignment horizontal="center" vertical="center"/>
    </xf>
    <xf numFmtId="0" fontId="173" fillId="3" borderId="5" xfId="0" applyFont="1" applyFill="1" applyBorder="1" applyAlignment="1">
      <alignment horizontal="center" vertical="center"/>
    </xf>
    <xf numFmtId="0" fontId="173" fillId="3" borderId="43" xfId="0" applyFont="1" applyFill="1" applyBorder="1" applyAlignment="1">
      <alignment horizontal="center" vertical="center"/>
    </xf>
    <xf numFmtId="0" fontId="173" fillId="3" borderId="59" xfId="0" applyFont="1" applyFill="1" applyBorder="1" applyAlignment="1">
      <alignment horizontal="center" vertical="center"/>
    </xf>
    <xf numFmtId="0" fontId="171" fillId="0" borderId="62" xfId="0" applyFont="1" applyFill="1" applyBorder="1" applyAlignment="1">
      <alignment horizontal="center" vertical="center"/>
    </xf>
    <xf numFmtId="0" fontId="171" fillId="0" borderId="30" xfId="0" applyFont="1" applyFill="1" applyBorder="1" applyAlignment="1">
      <alignment horizontal="center" vertical="center"/>
    </xf>
    <xf numFmtId="2" fontId="173" fillId="5" borderId="176" xfId="0" applyNumberFormat="1" applyFont="1" applyFill="1" applyBorder="1" applyAlignment="1">
      <alignment horizontal="center" vertical="center"/>
    </xf>
    <xf numFmtId="0" fontId="174" fillId="6" borderId="21" xfId="0" applyFont="1" applyFill="1" applyBorder="1" applyAlignment="1">
      <alignment horizontal="center" vertical="center"/>
    </xf>
    <xf numFmtId="0" fontId="173" fillId="6" borderId="21" xfId="0" applyFont="1" applyFill="1" applyBorder="1" applyAlignment="1">
      <alignment horizontal="center" vertical="center"/>
    </xf>
    <xf numFmtId="0" fontId="173" fillId="6" borderId="124" xfId="0" applyFont="1" applyFill="1" applyBorder="1" applyAlignment="1">
      <alignment vertical="center"/>
    </xf>
    <xf numFmtId="0" fontId="173" fillId="6" borderId="61" xfId="0" applyFont="1" applyFill="1" applyBorder="1" applyAlignment="1">
      <alignment vertical="center"/>
    </xf>
    <xf numFmtId="0" fontId="169" fillId="7" borderId="107" xfId="0" applyNumberFormat="1" applyFont="1" applyFill="1" applyBorder="1" applyAlignment="1">
      <alignment horizontal="center" vertical="center"/>
    </xf>
    <xf numFmtId="0" fontId="169" fillId="0" borderId="105" xfId="0" applyNumberFormat="1" applyFont="1" applyBorder="1" applyAlignment="1">
      <alignment horizontal="center" vertical="center"/>
    </xf>
    <xf numFmtId="0" fontId="169" fillId="7" borderId="208" xfId="0" applyNumberFormat="1" applyFont="1" applyFill="1" applyBorder="1" applyAlignment="1">
      <alignment horizontal="center" vertical="center"/>
    </xf>
    <xf numFmtId="166" fontId="13" fillId="6" borderId="96" xfId="0" applyNumberFormat="1" applyFont="1" applyFill="1" applyBorder="1" applyAlignment="1">
      <alignment horizontal="left" vertical="center"/>
    </xf>
    <xf numFmtId="0" fontId="166" fillId="6" borderId="209" xfId="0" applyFont="1" applyFill="1" applyBorder="1" applyAlignment="1">
      <alignment horizontal="center" vertical="center"/>
    </xf>
    <xf numFmtId="0" fontId="166" fillId="6" borderId="85" xfId="0" applyFont="1" applyFill="1" applyBorder="1" applyAlignment="1">
      <alignment horizontal="left" vertical="center"/>
    </xf>
    <xf numFmtId="0" fontId="166" fillId="6" borderId="0" xfId="0" applyFont="1" applyFill="1" applyBorder="1" applyAlignment="1">
      <alignment horizontal="left" vertical="center"/>
    </xf>
    <xf numFmtId="0" fontId="174" fillId="6" borderId="88" xfId="0" applyFont="1" applyFill="1" applyBorder="1" applyAlignment="1">
      <alignment horizontal="left" vertical="top"/>
    </xf>
    <xf numFmtId="0" fontId="2" fillId="6" borderId="273" xfId="0" applyFont="1" applyFill="1" applyBorder="1" applyAlignment="1">
      <alignment vertical="center"/>
    </xf>
    <xf numFmtId="0" fontId="162" fillId="6" borderId="274" xfId="0" applyFont="1" applyFill="1" applyBorder="1" applyAlignment="1">
      <alignment horizontal="center" vertical="center"/>
    </xf>
    <xf numFmtId="0" fontId="162" fillId="6" borderId="275" xfId="0" applyFont="1" applyFill="1" applyBorder="1" applyAlignment="1">
      <alignment vertical="center"/>
    </xf>
    <xf numFmtId="0" fontId="3" fillId="6" borderId="276" xfId="0" applyFont="1" applyFill="1" applyBorder="1" applyAlignment="1">
      <alignment horizontal="left" vertical="top"/>
    </xf>
    <xf numFmtId="0" fontId="110" fillId="3" borderId="107" xfId="0" applyFont="1" applyFill="1" applyBorder="1" applyAlignment="1">
      <alignment horizontal="centerContinuous"/>
    </xf>
    <xf numFmtId="0" fontId="18" fillId="3" borderId="4" xfId="0" applyNumberFormat="1" applyFont="1" applyFill="1" applyBorder="1" applyAlignment="1">
      <alignment horizontal="center" vertical="center"/>
    </xf>
    <xf numFmtId="0" fontId="18" fillId="3" borderId="0" xfId="0" applyNumberFormat="1" applyFont="1" applyFill="1" applyBorder="1" applyAlignment="1">
      <alignment horizontal="right" vertical="center"/>
    </xf>
    <xf numFmtId="0" fontId="13" fillId="0" borderId="9" xfId="0" applyNumberFormat="1" applyFont="1" applyFill="1" applyBorder="1" applyAlignment="1">
      <alignment horizontal="center"/>
    </xf>
    <xf numFmtId="0" fontId="18" fillId="3" borderId="9" xfId="0" applyNumberFormat="1" applyFont="1" applyFill="1" applyBorder="1"/>
    <xf numFmtId="0" fontId="18" fillId="3" borderId="4" xfId="0" applyNumberFormat="1" applyFont="1" applyFill="1" applyBorder="1" applyAlignment="1">
      <alignment vertical="center"/>
    </xf>
    <xf numFmtId="0" fontId="184" fillId="3" borderId="0" xfId="0" applyNumberFormat="1" applyFont="1" applyFill="1" applyBorder="1" applyAlignment="1">
      <alignment horizontal="center" vertical="center"/>
    </xf>
    <xf numFmtId="0" fontId="18" fillId="3" borderId="96" xfId="0" applyNumberFormat="1" applyFont="1" applyFill="1" applyBorder="1" applyAlignment="1">
      <alignment horizontal="left" vertical="center"/>
    </xf>
    <xf numFmtId="0" fontId="184" fillId="3" borderId="45" xfId="0" applyNumberFormat="1" applyFont="1" applyFill="1" applyBorder="1" applyAlignment="1">
      <alignment horizontal="center" vertical="center"/>
    </xf>
    <xf numFmtId="0" fontId="2" fillId="6" borderId="212" xfId="0" applyFont="1" applyFill="1" applyBorder="1" applyAlignment="1">
      <alignment horizontal="left" vertical="center"/>
    </xf>
    <xf numFmtId="0" fontId="3" fillId="6" borderId="210" xfId="0" applyFont="1" applyFill="1" applyBorder="1" applyAlignment="1">
      <alignment horizontal="right" vertical="center"/>
    </xf>
    <xf numFmtId="0" fontId="2" fillId="6" borderId="130" xfId="0" applyFont="1" applyFill="1" applyBorder="1" applyAlignment="1">
      <alignment horizontal="center" wrapText="1"/>
    </xf>
    <xf numFmtId="166" fontId="2" fillId="5" borderId="213" xfId="0" applyNumberFormat="1" applyFont="1" applyFill="1" applyBorder="1" applyAlignment="1">
      <alignment horizontal="center" vertical="center"/>
    </xf>
    <xf numFmtId="166" fontId="2" fillId="5" borderId="214" xfId="0" applyNumberFormat="1" applyFont="1" applyFill="1" applyBorder="1" applyAlignment="1">
      <alignment horizontal="center" vertical="center"/>
    </xf>
    <xf numFmtId="1" fontId="3" fillId="5" borderId="138" xfId="0" applyNumberFormat="1" applyFont="1" applyFill="1" applyBorder="1" applyAlignment="1" applyProtection="1">
      <alignment horizontal="center" vertical="center"/>
      <protection hidden="1"/>
    </xf>
    <xf numFmtId="0" fontId="2" fillId="3" borderId="215" xfId="0" applyNumberFormat="1" applyFont="1" applyFill="1" applyBorder="1" applyAlignment="1">
      <alignment horizontal="center" vertical="center"/>
    </xf>
    <xf numFmtId="0" fontId="2" fillId="7" borderId="204" xfId="0" applyFont="1" applyFill="1" applyBorder="1" applyAlignment="1">
      <alignment horizontal="center" vertical="center"/>
    </xf>
    <xf numFmtId="166" fontId="0" fillId="5" borderId="24" xfId="0" applyNumberFormat="1" applyFill="1" applyBorder="1" applyAlignment="1" applyProtection="1">
      <alignment horizontal="center" vertical="center"/>
      <protection hidden="1"/>
    </xf>
    <xf numFmtId="0" fontId="18" fillId="3" borderId="46" xfId="0" applyNumberFormat="1" applyFont="1" applyFill="1" applyBorder="1"/>
    <xf numFmtId="2" fontId="13" fillId="5" borderId="136" xfId="0" applyNumberFormat="1" applyFont="1" applyFill="1" applyBorder="1" applyAlignment="1" applyProtection="1">
      <alignment horizontal="center" vertical="center"/>
      <protection hidden="1"/>
    </xf>
    <xf numFmtId="0" fontId="18" fillId="3" borderId="136" xfId="0" applyNumberFormat="1" applyFont="1" applyFill="1" applyBorder="1" applyAlignment="1">
      <alignment horizontal="center" vertical="center"/>
    </xf>
    <xf numFmtId="0" fontId="13" fillId="5" borderId="136" xfId="0" applyNumberFormat="1" applyFont="1" applyFill="1" applyBorder="1" applyAlignment="1">
      <alignment horizontal="left" vertical="center"/>
    </xf>
    <xf numFmtId="0" fontId="13" fillId="5" borderId="136" xfId="0" applyNumberFormat="1" applyFont="1" applyFill="1" applyBorder="1" applyAlignment="1">
      <alignment horizontal="center" vertical="center"/>
    </xf>
    <xf numFmtId="167" fontId="0" fillId="5" borderId="211" xfId="0" applyNumberFormat="1" applyFill="1" applyBorder="1" applyAlignment="1" applyProtection="1">
      <alignment horizontal="center" vertical="center"/>
      <protection hidden="1"/>
    </xf>
    <xf numFmtId="0" fontId="2" fillId="6" borderId="216" xfId="0" applyFont="1" applyFill="1" applyBorder="1" applyAlignment="1">
      <alignment horizontal="left" vertical="center"/>
    </xf>
    <xf numFmtId="0" fontId="35" fillId="6" borderId="0" xfId="0" applyFont="1" applyFill="1" applyBorder="1" applyAlignment="1">
      <alignment horizontal="center"/>
    </xf>
    <xf numFmtId="0" fontId="2" fillId="6" borderId="277" xfId="0" applyFont="1" applyFill="1" applyBorder="1" applyAlignment="1">
      <alignment horizontal="center"/>
    </xf>
    <xf numFmtId="0" fontId="2" fillId="6" borderId="37" xfId="0" applyFont="1" applyFill="1" applyBorder="1" applyAlignment="1">
      <alignment horizontal="center" vertical="center"/>
    </xf>
    <xf numFmtId="0" fontId="2" fillId="6" borderId="38" xfId="0" applyFont="1" applyFill="1" applyBorder="1" applyAlignment="1">
      <alignment horizontal="center" vertical="center"/>
    </xf>
    <xf numFmtId="0" fontId="18" fillId="6" borderId="217"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278" xfId="0" applyFont="1" applyFill="1" applyBorder="1" applyAlignment="1">
      <alignment horizontal="center" vertical="center"/>
    </xf>
    <xf numFmtId="0" fontId="0" fillId="35" borderId="9" xfId="0" applyFill="1" applyBorder="1"/>
    <xf numFmtId="49" fontId="53" fillId="3" borderId="77" xfId="0" applyNumberFormat="1" applyFont="1" applyFill="1" applyBorder="1" applyAlignment="1">
      <alignment horizontal="center"/>
    </xf>
    <xf numFmtId="11" fontId="0" fillId="5" borderId="85" xfId="0" applyNumberFormat="1" applyFill="1" applyBorder="1" applyAlignment="1" applyProtection="1">
      <alignment horizontal="center" vertical="center"/>
      <protection hidden="1"/>
    </xf>
    <xf numFmtId="11" fontId="0" fillId="5" borderId="19" xfId="0" applyNumberFormat="1" applyFill="1" applyBorder="1" applyAlignment="1" applyProtection="1">
      <alignment horizontal="center" vertical="center"/>
      <protection hidden="1"/>
    </xf>
    <xf numFmtId="0" fontId="0" fillId="36" borderId="9" xfId="0" applyFill="1" applyBorder="1"/>
    <xf numFmtId="49" fontId="53" fillId="3" borderId="130" xfId="0" applyNumberFormat="1" applyFont="1" applyFill="1" applyBorder="1" applyAlignment="1">
      <alignment horizontal="center"/>
    </xf>
    <xf numFmtId="11" fontId="0" fillId="5" borderId="36" xfId="0" applyNumberFormat="1" applyFill="1" applyBorder="1" applyAlignment="1" applyProtection="1">
      <alignment horizontal="center" vertical="center"/>
      <protection hidden="1"/>
    </xf>
    <xf numFmtId="11" fontId="0" fillId="5" borderId="15" xfId="0" applyNumberFormat="1" applyFill="1" applyBorder="1" applyAlignment="1" applyProtection="1">
      <alignment horizontal="center" vertical="center"/>
      <protection hidden="1"/>
    </xf>
    <xf numFmtId="0" fontId="0" fillId="37" borderId="9" xfId="0" applyFill="1" applyBorder="1"/>
    <xf numFmtId="0" fontId="0" fillId="38" borderId="9" xfId="0" applyFill="1" applyBorder="1"/>
    <xf numFmtId="0" fontId="0" fillId="39" borderId="9" xfId="0" applyFill="1" applyBorder="1"/>
    <xf numFmtId="0" fontId="0" fillId="40" borderId="9" xfId="0" applyFill="1" applyBorder="1"/>
    <xf numFmtId="11" fontId="0" fillId="5" borderId="218" xfId="0" applyNumberFormat="1" applyFill="1" applyBorder="1" applyAlignment="1" applyProtection="1">
      <alignment horizontal="center" vertical="center"/>
      <protection hidden="1"/>
    </xf>
    <xf numFmtId="0" fontId="0" fillId="41" borderId="9" xfId="0" applyFill="1" applyBorder="1"/>
    <xf numFmtId="0" fontId="3" fillId="6" borderId="211" xfId="0" applyFont="1" applyFill="1" applyBorder="1" applyAlignment="1">
      <alignment horizontal="right" vertical="center"/>
    </xf>
    <xf numFmtId="0" fontId="46" fillId="5" borderId="66" xfId="0" applyFont="1" applyFill="1" applyBorder="1"/>
    <xf numFmtId="0" fontId="46" fillId="5" borderId="219" xfId="0" applyFont="1" applyFill="1" applyBorder="1"/>
    <xf numFmtId="166" fontId="0" fillId="5" borderId="0" xfId="2" applyNumberFormat="1" applyFont="1" applyFill="1" applyBorder="1" applyAlignment="1">
      <alignment horizontal="center"/>
    </xf>
    <xf numFmtId="0" fontId="152" fillId="5" borderId="0" xfId="0" applyFont="1" applyFill="1"/>
    <xf numFmtId="0" fontId="18" fillId="5" borderId="0" xfId="0" applyFont="1" applyFill="1" applyAlignment="1">
      <alignment vertical="center"/>
    </xf>
    <xf numFmtId="0" fontId="18" fillId="5" borderId="0" xfId="0" applyFont="1" applyFill="1"/>
    <xf numFmtId="0" fontId="5" fillId="3" borderId="31" xfId="0" applyFont="1" applyFill="1" applyBorder="1" applyAlignment="1">
      <alignment horizontal="center" vertical="center"/>
    </xf>
    <xf numFmtId="0" fontId="153" fillId="5" borderId="0" xfId="0" applyFont="1" applyFill="1"/>
    <xf numFmtId="0" fontId="24" fillId="6" borderId="0" xfId="0" applyFont="1" applyFill="1" applyAlignment="1">
      <alignment vertical="center"/>
    </xf>
    <xf numFmtId="0" fontId="24" fillId="5" borderId="0" xfId="0" applyFont="1" applyFill="1" applyAlignment="1">
      <alignment vertical="center"/>
    </xf>
    <xf numFmtId="0" fontId="123" fillId="2" borderId="0" xfId="0" applyFont="1" applyFill="1" applyAlignment="1">
      <alignment vertical="center"/>
    </xf>
    <xf numFmtId="0" fontId="44" fillId="2" borderId="0" xfId="0" applyFont="1" applyFill="1" applyAlignment="1">
      <alignment vertical="center"/>
    </xf>
    <xf numFmtId="0" fontId="44" fillId="2" borderId="0" xfId="0" applyFont="1" applyFill="1" applyAlignment="1">
      <alignment horizontal="left" vertical="center"/>
    </xf>
    <xf numFmtId="0" fontId="184" fillId="5" borderId="0" xfId="0" applyFont="1" applyFill="1" applyBorder="1"/>
    <xf numFmtId="0" fontId="2" fillId="6" borderId="60" xfId="0" applyFont="1" applyFill="1" applyBorder="1" applyAlignment="1">
      <alignment horizontal="left"/>
    </xf>
    <xf numFmtId="0" fontId="46" fillId="2" borderId="0" xfId="0" applyFont="1" applyFill="1" applyAlignment="1">
      <alignment horizontal="center" vertical="top" wrapText="1"/>
    </xf>
    <xf numFmtId="0" fontId="2" fillId="2" borderId="0" xfId="0" applyFont="1" applyFill="1" applyAlignment="1">
      <alignment horizontal="center" vertical="top" wrapText="1"/>
    </xf>
    <xf numFmtId="0" fontId="2" fillId="2" borderId="0" xfId="0" applyFont="1" applyFill="1" applyBorder="1" applyAlignment="1">
      <alignment horizontal="center" vertical="top" wrapText="1"/>
    </xf>
    <xf numFmtId="0" fontId="182" fillId="2" borderId="0" xfId="0" applyFont="1" applyFill="1" applyAlignment="1">
      <alignment horizontal="center" vertical="top" wrapText="1"/>
    </xf>
    <xf numFmtId="0" fontId="81" fillId="5" borderId="0" xfId="0" applyNumberFormat="1" applyFont="1" applyFill="1" applyBorder="1" applyAlignment="1">
      <alignment horizontal="left" vertical="center"/>
    </xf>
    <xf numFmtId="0" fontId="47" fillId="34" borderId="60" xfId="0" applyFont="1" applyFill="1" applyBorder="1" applyAlignment="1">
      <alignment horizontal="center" vertical="center"/>
    </xf>
    <xf numFmtId="0" fontId="47" fillId="34" borderId="21" xfId="0" applyFont="1" applyFill="1" applyBorder="1" applyAlignment="1">
      <alignment horizontal="center" vertical="center"/>
    </xf>
    <xf numFmtId="0" fontId="46" fillId="34" borderId="1" xfId="0" applyFont="1" applyFill="1" applyBorder="1" applyAlignment="1">
      <alignment horizontal="center" vertical="center"/>
    </xf>
    <xf numFmtId="0" fontId="3" fillId="6" borderId="5" xfId="0" applyFont="1" applyFill="1" applyBorder="1" applyAlignment="1">
      <alignment horizontal="center"/>
    </xf>
    <xf numFmtId="0" fontId="166" fillId="6" borderId="165" xfId="0" applyFont="1" applyFill="1" applyBorder="1" applyAlignment="1">
      <alignment horizontal="center" vertical="center" wrapText="1"/>
    </xf>
    <xf numFmtId="0" fontId="166" fillId="6" borderId="73" xfId="0" applyFont="1" applyFill="1" applyBorder="1" applyAlignment="1">
      <alignment horizontal="center" vertical="center" wrapText="1"/>
    </xf>
    <xf numFmtId="0" fontId="0" fillId="7" borderId="88" xfId="0" applyNumberFormat="1" applyFill="1" applyBorder="1" applyAlignment="1">
      <alignment horizontal="center" vertical="center"/>
    </xf>
    <xf numFmtId="0" fontId="46" fillId="7" borderId="2" xfId="0" applyNumberFormat="1" applyFont="1" applyFill="1" applyBorder="1" applyAlignment="1">
      <alignment horizontal="center" vertical="center"/>
    </xf>
    <xf numFmtId="0" fontId="2" fillId="7" borderId="32" xfId="0" applyNumberFormat="1" applyFont="1" applyFill="1" applyBorder="1" applyAlignment="1">
      <alignment horizontal="center" vertical="center"/>
    </xf>
    <xf numFmtId="0" fontId="174" fillId="6" borderId="31" xfId="0" applyFont="1" applyFill="1" applyBorder="1" applyAlignment="1">
      <alignment horizontal="center" vertical="center"/>
    </xf>
    <xf numFmtId="2" fontId="171" fillId="5" borderId="170" xfId="0" applyNumberFormat="1" applyFont="1" applyFill="1" applyBorder="1" applyAlignment="1">
      <alignment horizontal="center" vertical="center"/>
    </xf>
    <xf numFmtId="0" fontId="167" fillId="5" borderId="164" xfId="0" applyFont="1" applyFill="1" applyBorder="1" applyAlignment="1">
      <alignment horizontal="right" vertical="center"/>
    </xf>
    <xf numFmtId="0" fontId="0" fillId="2" borderId="81" xfId="0" applyFill="1" applyBorder="1" applyAlignment="1">
      <alignment horizontal="left" vertical="center"/>
    </xf>
    <xf numFmtId="0" fontId="87" fillId="2" borderId="4" xfId="0" applyFont="1" applyFill="1" applyBorder="1" applyAlignment="1">
      <alignment horizontal="center" vertical="center"/>
    </xf>
    <xf numFmtId="0" fontId="87" fillId="2" borderId="4" xfId="0" applyFont="1" applyFill="1" applyBorder="1" applyAlignment="1">
      <alignment horizontal="left" vertical="center"/>
    </xf>
    <xf numFmtId="0" fontId="80" fillId="2" borderId="4" xfId="0" applyFont="1" applyFill="1" applyBorder="1" applyAlignment="1">
      <alignment horizontal="center" vertical="center"/>
    </xf>
    <xf numFmtId="0" fontId="172" fillId="3" borderId="126" xfId="0" applyFont="1" applyFill="1" applyBorder="1" applyAlignment="1">
      <alignment horizontal="center" vertical="center"/>
    </xf>
    <xf numFmtId="0" fontId="13" fillId="6" borderId="45" xfId="0" applyFont="1" applyFill="1" applyBorder="1" applyAlignment="1">
      <alignment vertical="center"/>
    </xf>
    <xf numFmtId="0" fontId="46" fillId="6" borderId="45" xfId="0" applyFont="1" applyFill="1" applyBorder="1" applyAlignment="1">
      <alignment horizontal="left" vertical="center"/>
    </xf>
    <xf numFmtId="0" fontId="46" fillId="6" borderId="45" xfId="0" applyFont="1" applyFill="1" applyBorder="1" applyAlignment="1">
      <alignment horizontal="center" vertical="center"/>
    </xf>
    <xf numFmtId="0" fontId="0" fillId="6" borderId="45" xfId="0" applyFill="1" applyBorder="1" applyAlignment="1">
      <alignment horizontal="center" vertical="center"/>
    </xf>
    <xf numFmtId="0" fontId="0" fillId="6" borderId="46" xfId="0" applyFill="1" applyBorder="1" applyAlignment="1">
      <alignment horizontal="center" vertical="center"/>
    </xf>
    <xf numFmtId="1" fontId="2" fillId="3" borderId="36" xfId="0" applyNumberFormat="1" applyFont="1" applyFill="1" applyBorder="1" applyAlignment="1">
      <alignment horizontal="center" vertical="center" wrapText="1"/>
    </xf>
    <xf numFmtId="1" fontId="2" fillId="3" borderId="220" xfId="0" applyNumberFormat="1" applyFont="1" applyFill="1" applyBorder="1" applyAlignment="1">
      <alignment horizontal="center" vertical="center" wrapText="1"/>
    </xf>
    <xf numFmtId="0" fontId="0" fillId="3" borderId="221" xfId="0" applyFill="1" applyBorder="1" applyAlignment="1">
      <alignment horizontal="center"/>
    </xf>
    <xf numFmtId="0" fontId="18" fillId="0" borderId="85" xfId="0" applyNumberFormat="1" applyFont="1" applyFill="1" applyBorder="1" applyAlignment="1">
      <alignment horizontal="center" vertical="center"/>
    </xf>
    <xf numFmtId="0" fontId="18" fillId="0" borderId="31" xfId="0" applyNumberFormat="1" applyFont="1" applyFill="1" applyBorder="1" applyAlignment="1">
      <alignment horizontal="center" vertical="center"/>
    </xf>
    <xf numFmtId="0" fontId="18" fillId="0" borderId="87" xfId="0" applyNumberFormat="1" applyFont="1" applyFill="1" applyBorder="1" applyAlignment="1">
      <alignment horizontal="center" vertical="center"/>
    </xf>
    <xf numFmtId="0" fontId="3" fillId="6" borderId="222" xfId="0" applyFont="1" applyFill="1" applyBorder="1" applyAlignment="1">
      <alignment horizontal="center" vertical="center" wrapText="1"/>
    </xf>
    <xf numFmtId="49" fontId="2" fillId="3" borderId="11" xfId="0" applyNumberFormat="1" applyFont="1" applyFill="1" applyBorder="1" applyAlignment="1">
      <alignment horizontal="center"/>
    </xf>
    <xf numFmtId="0" fontId="17" fillId="6" borderId="28" xfId="0" applyFont="1" applyFill="1" applyBorder="1" applyAlignment="1">
      <alignment horizontal="left" vertical="center"/>
    </xf>
    <xf numFmtId="166" fontId="0" fillId="5" borderId="223" xfId="0" applyNumberFormat="1" applyFill="1" applyBorder="1" applyAlignment="1">
      <alignment horizontal="center" vertical="center"/>
    </xf>
    <xf numFmtId="11" fontId="0" fillId="5" borderId="64" xfId="0" applyNumberFormat="1" applyFill="1" applyBorder="1" applyAlignment="1">
      <alignment horizontal="center" vertical="center"/>
    </xf>
    <xf numFmtId="0" fontId="0" fillId="3" borderId="67" xfId="0" applyFill="1" applyBorder="1" applyAlignment="1">
      <alignment horizontal="center" vertical="center" wrapText="1"/>
    </xf>
    <xf numFmtId="166" fontId="0" fillId="5" borderId="9" xfId="0" applyNumberFormat="1" applyFill="1" applyBorder="1" applyAlignment="1">
      <alignment horizontal="center" vertical="center"/>
    </xf>
    <xf numFmtId="49" fontId="0" fillId="3" borderId="67" xfId="0" applyNumberFormat="1" applyFill="1" applyBorder="1" applyAlignment="1">
      <alignment horizontal="center" vertical="center" wrapText="1"/>
    </xf>
    <xf numFmtId="166" fontId="18" fillId="5" borderId="63" xfId="0" applyNumberFormat="1" applyFont="1" applyFill="1" applyBorder="1" applyAlignment="1">
      <alignment horizontal="center" vertical="center"/>
    </xf>
    <xf numFmtId="166" fontId="0" fillId="11" borderId="222" xfId="0" applyNumberFormat="1" applyFill="1" applyBorder="1" applyAlignment="1">
      <alignment horizontal="center"/>
    </xf>
    <xf numFmtId="166" fontId="18" fillId="5" borderId="133" xfId="0" applyNumberFormat="1" applyFont="1" applyFill="1" applyBorder="1" applyAlignment="1">
      <alignment horizontal="center" vertical="center"/>
    </xf>
    <xf numFmtId="166" fontId="0" fillId="11" borderId="73" xfId="0" applyNumberFormat="1" applyFill="1" applyBorder="1" applyAlignment="1">
      <alignment horizontal="center"/>
    </xf>
    <xf numFmtId="49" fontId="53" fillId="3" borderId="224" xfId="0" applyNumberFormat="1" applyFont="1" applyFill="1" applyBorder="1" applyAlignment="1">
      <alignment horizontal="center"/>
    </xf>
    <xf numFmtId="0" fontId="2" fillId="11" borderId="73" xfId="0" applyFont="1" applyFill="1" applyBorder="1" applyAlignment="1">
      <alignment horizontal="left"/>
    </xf>
    <xf numFmtId="0" fontId="0" fillId="3" borderId="63" xfId="0" applyFill="1" applyBorder="1" applyAlignment="1">
      <alignment horizontal="center" vertical="center" wrapText="1"/>
    </xf>
    <xf numFmtId="49" fontId="53" fillId="3" borderId="224" xfId="0" applyNumberFormat="1" applyFont="1" applyFill="1" applyBorder="1" applyAlignment="1">
      <alignment horizontal="center" vertical="center"/>
    </xf>
    <xf numFmtId="0" fontId="2" fillId="11" borderId="225" xfId="0" applyFont="1" applyFill="1" applyBorder="1" applyAlignment="1">
      <alignment horizontal="left"/>
    </xf>
    <xf numFmtId="0" fontId="0" fillId="3" borderId="226" xfId="0" applyFill="1" applyBorder="1" applyAlignment="1">
      <alignment horizontal="center" vertical="center"/>
    </xf>
    <xf numFmtId="2" fontId="0" fillId="5" borderId="169" xfId="0" applyNumberFormat="1" applyFill="1" applyBorder="1" applyAlignment="1">
      <alignment horizontal="center" vertical="center"/>
    </xf>
    <xf numFmtId="0" fontId="13" fillId="6" borderId="81" xfId="0" applyFont="1" applyFill="1" applyBorder="1"/>
    <xf numFmtId="0" fontId="13" fillId="6" borderId="27" xfId="0" applyFont="1" applyFill="1" applyBorder="1"/>
    <xf numFmtId="0" fontId="18" fillId="6" borderId="26" xfId="0" applyFont="1" applyFill="1" applyBorder="1" applyAlignment="1">
      <alignment horizontal="right"/>
    </xf>
    <xf numFmtId="0" fontId="0" fillId="6" borderId="26" xfId="0" applyFill="1" applyBorder="1" applyAlignment="1">
      <alignment horizontal="right" vertical="center"/>
    </xf>
    <xf numFmtId="166" fontId="2" fillId="6" borderId="26" xfId="0" applyNumberFormat="1" applyFont="1" applyFill="1" applyBorder="1" applyAlignment="1">
      <alignment horizontal="left" vertical="center"/>
    </xf>
    <xf numFmtId="0" fontId="0" fillId="6" borderId="27" xfId="0" applyFill="1" applyBorder="1" applyAlignment="1">
      <alignment horizontal="right"/>
    </xf>
    <xf numFmtId="165" fontId="0" fillId="6" borderId="82" xfId="0" applyNumberFormat="1" applyFill="1" applyBorder="1" applyAlignment="1">
      <alignment horizontal="left"/>
    </xf>
    <xf numFmtId="11" fontId="0" fillId="5" borderId="15" xfId="0" applyNumberFormat="1" applyFill="1" applyBorder="1" applyAlignment="1">
      <alignment horizontal="center" vertical="center"/>
    </xf>
    <xf numFmtId="0" fontId="0" fillId="5" borderId="15" xfId="0" applyFill="1" applyBorder="1"/>
    <xf numFmtId="0" fontId="0" fillId="5" borderId="15" xfId="0" applyFill="1" applyBorder="1" applyAlignment="1">
      <alignment horizontal="center" vertical="center" wrapText="1"/>
    </xf>
    <xf numFmtId="167" fontId="0" fillId="5" borderId="15" xfId="0" applyNumberFormat="1" applyFill="1" applyBorder="1" applyAlignment="1">
      <alignment horizontal="center" vertical="center"/>
    </xf>
    <xf numFmtId="167" fontId="0" fillId="5" borderId="227" xfId="0" applyNumberFormat="1" applyFill="1" applyBorder="1" applyAlignment="1">
      <alignment horizontal="center" vertical="center"/>
    </xf>
    <xf numFmtId="0" fontId="0" fillId="5" borderId="29" xfId="0" applyFill="1" applyBorder="1" applyAlignment="1">
      <alignment vertical="center"/>
    </xf>
    <xf numFmtId="0" fontId="0" fillId="3" borderId="228" xfId="0" applyFill="1" applyBorder="1" applyAlignment="1">
      <alignment horizontal="center" vertical="center"/>
    </xf>
    <xf numFmtId="0" fontId="46" fillId="5" borderId="45" xfId="0" applyFont="1" applyFill="1" applyBorder="1" applyAlignment="1">
      <alignment horizontal="left"/>
    </xf>
    <xf numFmtId="0" fontId="0" fillId="5" borderId="74" xfId="0" applyFill="1" applyBorder="1" applyAlignment="1">
      <alignment vertical="center"/>
    </xf>
    <xf numFmtId="167" fontId="0" fillId="5" borderId="78" xfId="0" applyNumberFormat="1" applyFill="1" applyBorder="1" applyAlignment="1">
      <alignment horizontal="center" vertical="center"/>
    </xf>
    <xf numFmtId="167" fontId="0" fillId="11" borderId="86" xfId="0" applyNumberFormat="1" applyFill="1" applyBorder="1" applyAlignment="1" applyProtection="1">
      <alignment horizontal="center" vertical="center"/>
      <protection hidden="1"/>
    </xf>
    <xf numFmtId="167" fontId="0" fillId="11" borderId="31" xfId="0" applyNumberFormat="1" applyFill="1" applyBorder="1" applyAlignment="1" applyProtection="1">
      <alignment horizontal="center" vertical="center"/>
      <protection hidden="1"/>
    </xf>
    <xf numFmtId="167" fontId="0" fillId="11" borderId="119" xfId="0" applyNumberFormat="1" applyFill="1" applyBorder="1" applyAlignment="1">
      <alignment horizontal="center" vertical="center"/>
    </xf>
    <xf numFmtId="0" fontId="0" fillId="3" borderId="229" xfId="0" applyFill="1" applyBorder="1" applyAlignment="1">
      <alignment horizontal="center" vertical="center"/>
    </xf>
    <xf numFmtId="167" fontId="0" fillId="11" borderId="0" xfId="0" applyNumberFormat="1" applyFill="1" applyBorder="1" applyAlignment="1" applyProtection="1">
      <alignment horizontal="center" vertical="center"/>
      <protection hidden="1"/>
    </xf>
    <xf numFmtId="167" fontId="0" fillId="11" borderId="9" xfId="0" applyNumberFormat="1" applyFill="1" applyBorder="1" applyAlignment="1" applyProtection="1">
      <alignment horizontal="center" vertical="center"/>
      <protection hidden="1"/>
    </xf>
    <xf numFmtId="11" fontId="0" fillId="11" borderId="230" xfId="0" applyNumberFormat="1" applyFill="1" applyBorder="1" applyAlignment="1">
      <alignment horizontal="center" vertical="center"/>
    </xf>
    <xf numFmtId="167" fontId="0" fillId="11" borderId="118" xfId="0" applyNumberFormat="1" applyFill="1" applyBorder="1" applyAlignment="1" applyProtection="1">
      <alignment horizontal="center" vertical="center"/>
      <protection hidden="1"/>
    </xf>
    <xf numFmtId="167" fontId="0" fillId="11" borderId="45" xfId="0" applyNumberFormat="1" applyFill="1" applyBorder="1" applyAlignment="1" applyProtection="1">
      <alignment horizontal="center" vertical="center"/>
      <protection hidden="1"/>
    </xf>
    <xf numFmtId="167" fontId="0" fillId="11" borderId="46" xfId="0" applyNumberFormat="1" applyFill="1" applyBorder="1" applyAlignment="1" applyProtection="1">
      <alignment horizontal="center" vertical="center"/>
      <protection hidden="1"/>
    </xf>
    <xf numFmtId="0" fontId="2" fillId="6" borderId="163" xfId="0" applyFont="1" applyFill="1" applyBorder="1" applyAlignment="1">
      <alignment horizontal="right" vertical="center"/>
    </xf>
    <xf numFmtId="166" fontId="2" fillId="6" borderId="28" xfId="0" applyNumberFormat="1" applyFont="1" applyFill="1" applyBorder="1" applyAlignment="1">
      <alignment horizontal="left" vertical="center"/>
    </xf>
    <xf numFmtId="11" fontId="0" fillId="5" borderId="86" xfId="0" applyNumberFormat="1" applyFill="1" applyBorder="1" applyAlignment="1" applyProtection="1">
      <alignment horizontal="center" vertical="center"/>
      <protection hidden="1"/>
    </xf>
    <xf numFmtId="11" fontId="0" fillId="5" borderId="119" xfId="0" applyNumberFormat="1" applyFill="1" applyBorder="1" applyAlignment="1" applyProtection="1">
      <alignment horizontal="center" vertical="center"/>
      <protection hidden="1"/>
    </xf>
    <xf numFmtId="0" fontId="0" fillId="11" borderId="75" xfId="0" applyFill="1" applyBorder="1" applyAlignment="1">
      <alignment horizontal="center" vertical="center"/>
    </xf>
    <xf numFmtId="0" fontId="0" fillId="11" borderId="17" xfId="0" applyFill="1" applyBorder="1" applyAlignment="1">
      <alignment horizontal="center" vertical="center"/>
    </xf>
    <xf numFmtId="0" fontId="0" fillId="11" borderId="64" xfId="0" applyFill="1" applyBorder="1" applyAlignment="1">
      <alignment vertical="center"/>
    </xf>
    <xf numFmtId="0" fontId="0" fillId="11" borderId="78" xfId="0" applyFill="1" applyBorder="1" applyAlignment="1">
      <alignment horizontal="center" vertical="center"/>
    </xf>
    <xf numFmtId="0" fontId="46" fillId="11" borderId="118" xfId="0" applyFont="1" applyFill="1" applyBorder="1" applyAlignment="1">
      <alignment horizontal="left"/>
    </xf>
    <xf numFmtId="165" fontId="0" fillId="7" borderId="230" xfId="0" applyNumberFormat="1" applyFill="1" applyBorder="1" applyAlignment="1">
      <alignment horizontal="center" vertical="center"/>
    </xf>
    <xf numFmtId="0" fontId="46" fillId="4" borderId="60" xfId="0" applyFont="1" applyFill="1" applyBorder="1" applyAlignment="1">
      <alignment horizontal="center" vertical="center"/>
    </xf>
    <xf numFmtId="0" fontId="46" fillId="4" borderId="1" xfId="0" applyFont="1" applyFill="1" applyBorder="1" applyAlignment="1">
      <alignment horizontal="center" vertical="center"/>
    </xf>
    <xf numFmtId="0" fontId="3" fillId="6" borderId="231" xfId="0" applyFont="1" applyFill="1" applyBorder="1" applyAlignment="1" applyProtection="1">
      <alignment horizontal="left" vertical="center"/>
      <protection hidden="1"/>
    </xf>
    <xf numFmtId="166" fontId="0" fillId="5" borderId="38" xfId="0" applyNumberFormat="1" applyFill="1" applyBorder="1" applyAlignment="1">
      <alignment horizontal="center" vertical="center"/>
    </xf>
    <xf numFmtId="0" fontId="0" fillId="3" borderId="232" xfId="0" applyFill="1" applyBorder="1" applyAlignment="1">
      <alignment horizontal="center" vertical="center"/>
    </xf>
    <xf numFmtId="0" fontId="0" fillId="7" borderId="75" xfId="0" applyFill="1" applyBorder="1" applyAlignment="1">
      <alignment horizontal="center" vertical="center"/>
    </xf>
    <xf numFmtId="0" fontId="0" fillId="7" borderId="64" xfId="0" applyFill="1" applyBorder="1" applyAlignment="1">
      <alignment horizontal="center" vertical="center"/>
    </xf>
    <xf numFmtId="0" fontId="0" fillId="7" borderId="78" xfId="0" applyFill="1" applyBorder="1" applyAlignment="1">
      <alignment horizontal="center" vertical="center"/>
    </xf>
    <xf numFmtId="0" fontId="46" fillId="7" borderId="0" xfId="0" applyFont="1" applyFill="1" applyBorder="1" applyAlignment="1">
      <alignment horizontal="center" vertical="center"/>
    </xf>
    <xf numFmtId="0" fontId="2" fillId="7" borderId="9" xfId="0" applyFont="1" applyFill="1" applyBorder="1" applyAlignment="1">
      <alignment horizontal="center" vertical="center"/>
    </xf>
    <xf numFmtId="0" fontId="46" fillId="11" borderId="45" xfId="0" applyFont="1" applyFill="1" applyBorder="1" applyAlignment="1">
      <alignment horizontal="left"/>
    </xf>
    <xf numFmtId="1" fontId="9" fillId="7" borderId="63" xfId="0" applyNumberFormat="1" applyFont="1" applyFill="1" applyBorder="1" applyAlignment="1">
      <alignment horizontal="center" vertical="center"/>
    </xf>
    <xf numFmtId="0" fontId="9" fillId="7" borderId="130" xfId="0" applyFont="1" applyFill="1" applyBorder="1" applyAlignment="1">
      <alignment horizontal="center" vertical="center"/>
    </xf>
    <xf numFmtId="0" fontId="9" fillId="7" borderId="100" xfId="0" applyFont="1" applyFill="1" applyBorder="1" applyAlignment="1">
      <alignment horizontal="center" vertical="center"/>
    </xf>
    <xf numFmtId="0" fontId="9" fillId="7" borderId="122" xfId="0" applyFont="1" applyFill="1" applyBorder="1" applyAlignment="1">
      <alignment horizontal="center" vertical="center"/>
    </xf>
    <xf numFmtId="0" fontId="0" fillId="11" borderId="86" xfId="0" applyFill="1" applyBorder="1" applyAlignment="1">
      <alignment horizontal="center" vertical="center"/>
    </xf>
    <xf numFmtId="0" fontId="0" fillId="11" borderId="31" xfId="0" applyFill="1" applyBorder="1" applyAlignment="1">
      <alignment horizontal="center" vertical="center"/>
    </xf>
    <xf numFmtId="0" fontId="0" fillId="11" borderId="119" xfId="0" applyFill="1" applyBorder="1" applyAlignment="1">
      <alignment vertical="center"/>
    </xf>
    <xf numFmtId="166" fontId="0" fillId="7" borderId="233" xfId="0" applyNumberFormat="1" applyFill="1" applyBorder="1" applyAlignment="1">
      <alignment horizontal="center" vertical="center"/>
    </xf>
    <xf numFmtId="0" fontId="2" fillId="11" borderId="167" xfId="0" applyFont="1" applyFill="1" applyBorder="1" applyAlignment="1">
      <alignment vertical="center"/>
    </xf>
    <xf numFmtId="0" fontId="0" fillId="11" borderId="164" xfId="0" applyFill="1" applyBorder="1" applyAlignment="1">
      <alignment vertical="center"/>
    </xf>
    <xf numFmtId="0" fontId="46" fillId="11" borderId="164" xfId="0" applyFont="1" applyFill="1" applyBorder="1" applyAlignment="1">
      <alignment horizontal="left" vertical="center"/>
    </xf>
    <xf numFmtId="0" fontId="46" fillId="11" borderId="164" xfId="0" applyFont="1" applyFill="1" applyBorder="1" applyAlignment="1">
      <alignment horizontal="center" vertical="center"/>
    </xf>
    <xf numFmtId="49" fontId="53" fillId="3" borderId="17" xfId="0" applyNumberFormat="1" applyFont="1" applyFill="1" applyBorder="1" applyAlignment="1">
      <alignment horizontal="center"/>
    </xf>
    <xf numFmtId="0" fontId="0" fillId="3" borderId="62" xfId="0" applyFill="1" applyBorder="1" applyAlignment="1">
      <alignment horizontal="center" vertical="center"/>
    </xf>
    <xf numFmtId="167" fontId="0" fillId="5" borderId="234" xfId="0" applyNumberFormat="1" applyFill="1" applyBorder="1" applyAlignment="1">
      <alignment horizontal="center" vertical="center"/>
    </xf>
    <xf numFmtId="166" fontId="0" fillId="6" borderId="21" xfId="0" applyNumberFormat="1" applyFill="1" applyBorder="1" applyAlignment="1">
      <alignment horizontal="left" vertical="center"/>
    </xf>
    <xf numFmtId="0" fontId="13" fillId="6" borderId="124" xfId="0" applyFont="1" applyFill="1" applyBorder="1" applyAlignment="1">
      <alignment vertical="center"/>
    </xf>
    <xf numFmtId="0" fontId="60" fillId="3" borderId="57" xfId="0" applyFont="1" applyFill="1" applyBorder="1" applyAlignment="1">
      <alignment horizontal="center"/>
    </xf>
    <xf numFmtId="0" fontId="4" fillId="3" borderId="57" xfId="0" applyFont="1" applyFill="1" applyBorder="1" applyAlignment="1">
      <alignment horizontal="center"/>
    </xf>
    <xf numFmtId="167" fontId="0" fillId="5" borderId="33" xfId="0" applyNumberFormat="1" applyFill="1" applyBorder="1" applyAlignment="1">
      <alignment horizontal="center" vertical="center"/>
    </xf>
    <xf numFmtId="0" fontId="0" fillId="11" borderId="124" xfId="0" applyFill="1" applyBorder="1" applyAlignment="1">
      <alignment horizontal="center" vertical="center"/>
    </xf>
    <xf numFmtId="0" fontId="0" fillId="11" borderId="21" xfId="0" applyNumberFormat="1" applyFill="1" applyBorder="1" applyAlignment="1">
      <alignment horizontal="center" vertical="center"/>
    </xf>
    <xf numFmtId="0" fontId="0" fillId="11" borderId="61" xfId="0" applyNumberFormat="1" applyFill="1" applyBorder="1" applyAlignment="1">
      <alignment horizontal="center" vertical="center"/>
    </xf>
    <xf numFmtId="0" fontId="13" fillId="6" borderId="21" xfId="0" applyFont="1" applyFill="1" applyBorder="1"/>
    <xf numFmtId="0" fontId="18" fillId="6" borderId="21" xfId="0" applyFont="1" applyFill="1" applyBorder="1" applyAlignment="1">
      <alignment horizontal="right"/>
    </xf>
    <xf numFmtId="0" fontId="0" fillId="6" borderId="21" xfId="0" applyFill="1" applyBorder="1" applyAlignment="1">
      <alignment horizontal="right" vertical="center"/>
    </xf>
    <xf numFmtId="0" fontId="17" fillId="6" borderId="61" xfId="0" applyFont="1" applyFill="1" applyBorder="1" applyAlignment="1">
      <alignment horizontal="left" vertical="center"/>
    </xf>
    <xf numFmtId="0" fontId="60" fillId="3" borderId="5" xfId="0" applyFont="1" applyFill="1" applyBorder="1" applyAlignment="1">
      <alignment horizontal="center" vertical="center"/>
    </xf>
    <xf numFmtId="170" fontId="0" fillId="2" borderId="0" xfId="0" applyNumberFormat="1" applyFill="1" applyAlignment="1">
      <alignment vertical="center"/>
    </xf>
    <xf numFmtId="0" fontId="4" fillId="3" borderId="22" xfId="0" applyFont="1" applyFill="1" applyBorder="1" applyAlignment="1">
      <alignment horizontal="center"/>
    </xf>
    <xf numFmtId="2" fontId="0" fillId="5" borderId="138" xfId="0" applyNumberFormat="1" applyFill="1" applyBorder="1" applyAlignment="1">
      <alignment horizontal="center" vertical="center"/>
    </xf>
    <xf numFmtId="2" fontId="0" fillId="5" borderId="18" xfId="0" applyNumberFormat="1" applyFill="1" applyBorder="1" applyAlignment="1">
      <alignment horizontal="center" vertical="center"/>
    </xf>
    <xf numFmtId="2" fontId="0" fillId="5" borderId="235" xfId="0" applyNumberFormat="1" applyFill="1" applyBorder="1" applyAlignment="1">
      <alignment horizontal="center" vertical="center"/>
    </xf>
    <xf numFmtId="0" fontId="0" fillId="5" borderId="46" xfId="0" applyNumberFormat="1" applyFill="1" applyBorder="1" applyAlignment="1">
      <alignment horizontal="center" vertical="center"/>
    </xf>
    <xf numFmtId="166" fontId="0" fillId="5" borderId="134" xfId="0" applyNumberFormat="1" applyFill="1" applyBorder="1" applyAlignment="1">
      <alignment horizontal="center" vertical="center"/>
    </xf>
    <xf numFmtId="0" fontId="0" fillId="11" borderId="45" xfId="0" applyFill="1" applyBorder="1"/>
    <xf numFmtId="0" fontId="0" fillId="11" borderId="45" xfId="0" applyFill="1" applyBorder="1" applyAlignment="1" applyProtection="1">
      <alignment vertical="center"/>
      <protection hidden="1"/>
    </xf>
    <xf numFmtId="0" fontId="0" fillId="11" borderId="74" xfId="0" applyFill="1" applyBorder="1" applyAlignment="1">
      <alignment vertical="center"/>
    </xf>
    <xf numFmtId="0" fontId="0" fillId="3" borderId="236" xfId="0" applyFill="1" applyBorder="1" applyAlignment="1">
      <alignment horizontal="center" vertical="center"/>
    </xf>
    <xf numFmtId="11" fontId="0" fillId="5" borderId="234" xfId="0" applyNumberFormat="1" applyFill="1" applyBorder="1" applyAlignment="1">
      <alignment horizontal="center" vertical="center"/>
    </xf>
    <xf numFmtId="0" fontId="81" fillId="5" borderId="36" xfId="0" applyNumberFormat="1" applyFont="1" applyFill="1" applyBorder="1" applyAlignment="1">
      <alignment horizontal="center" vertical="center"/>
    </xf>
    <xf numFmtId="0" fontId="81" fillId="5" borderId="159" xfId="0" applyNumberFormat="1" applyFont="1" applyFill="1" applyBorder="1" applyAlignment="1">
      <alignment horizontal="center" vertical="center"/>
    </xf>
    <xf numFmtId="0" fontId="81" fillId="5" borderId="2" xfId="0" applyNumberFormat="1" applyFont="1" applyFill="1" applyBorder="1" applyAlignment="1">
      <alignment horizontal="center" vertical="center"/>
    </xf>
    <xf numFmtId="0" fontId="0" fillId="3" borderId="83" xfId="0" applyFill="1" applyBorder="1" applyAlignment="1">
      <alignment horizontal="centerContinuous"/>
    </xf>
    <xf numFmtId="0" fontId="3" fillId="6" borderId="119" xfId="0" applyFont="1" applyFill="1" applyBorder="1" applyAlignment="1">
      <alignment horizontal="center" vertical="center" wrapText="1"/>
    </xf>
    <xf numFmtId="0" fontId="4" fillId="3" borderId="237" xfId="0" applyFont="1" applyFill="1" applyBorder="1" applyAlignment="1">
      <alignment horizontal="center" vertical="center"/>
    </xf>
    <xf numFmtId="0" fontId="81" fillId="0" borderId="36" xfId="0" applyNumberFormat="1" applyFont="1" applyFill="1" applyBorder="1" applyAlignment="1">
      <alignment horizontal="center" vertical="center"/>
    </xf>
    <xf numFmtId="0" fontId="81" fillId="0" borderId="279" xfId="0" applyNumberFormat="1" applyFont="1" applyFill="1" applyBorder="1" applyAlignment="1">
      <alignment horizontal="center" vertical="center"/>
    </xf>
    <xf numFmtId="0" fontId="81" fillId="0" borderId="280" xfId="0" applyNumberFormat="1" applyFont="1" applyFill="1" applyBorder="1" applyAlignment="1">
      <alignment horizontal="center" vertical="center"/>
    </xf>
    <xf numFmtId="0" fontId="18" fillId="0" borderId="281" xfId="0" applyNumberFormat="1" applyFont="1" applyFill="1" applyBorder="1" applyAlignment="1">
      <alignment horizontal="center" vertical="center"/>
    </xf>
    <xf numFmtId="0" fontId="81" fillId="0" borderId="32" xfId="0" applyNumberFormat="1" applyFont="1" applyFill="1" applyBorder="1" applyAlignment="1">
      <alignment horizontal="center" vertical="center"/>
    </xf>
    <xf numFmtId="0" fontId="81" fillId="0" borderId="282" xfId="0" applyNumberFormat="1" applyFont="1" applyFill="1" applyBorder="1" applyAlignment="1">
      <alignment horizontal="center" vertical="center"/>
    </xf>
    <xf numFmtId="0" fontId="171" fillId="5" borderId="2" xfId="0" applyFont="1" applyFill="1" applyBorder="1" applyAlignment="1">
      <alignment horizontal="center" vertical="center"/>
    </xf>
    <xf numFmtId="0" fontId="171" fillId="5" borderId="32" xfId="0" applyFont="1" applyFill="1" applyBorder="1" applyAlignment="1">
      <alignment horizontal="center" vertical="center"/>
    </xf>
    <xf numFmtId="0" fontId="173" fillId="3" borderId="221" xfId="0" applyFont="1" applyFill="1" applyBorder="1" applyAlignment="1">
      <alignment horizontal="centerContinuous" vertical="center"/>
    </xf>
    <xf numFmtId="0" fontId="173" fillId="3" borderId="83" xfId="0" applyFont="1" applyFill="1" applyBorder="1" applyAlignment="1">
      <alignment horizontal="centerContinuous" vertical="center"/>
    </xf>
    <xf numFmtId="0" fontId="3" fillId="6" borderId="9" xfId="0" applyFont="1" applyFill="1" applyBorder="1" applyAlignment="1">
      <alignment horizontal="center" vertical="center" wrapText="1"/>
    </xf>
    <xf numFmtId="0" fontId="172" fillId="3" borderId="237" xfId="0" applyFont="1" applyFill="1" applyBorder="1" applyAlignment="1">
      <alignment horizontal="center" vertical="center"/>
    </xf>
    <xf numFmtId="1" fontId="173" fillId="3" borderId="36" xfId="0" applyNumberFormat="1" applyFont="1" applyFill="1" applyBorder="1" applyAlignment="1">
      <alignment horizontal="center" vertical="center" wrapText="1"/>
    </xf>
    <xf numFmtId="1" fontId="173" fillId="3" borderId="220" xfId="0" applyNumberFormat="1" applyFont="1" applyFill="1" applyBorder="1" applyAlignment="1">
      <alignment horizontal="center" vertical="center" wrapText="1"/>
    </xf>
    <xf numFmtId="0" fontId="144" fillId="5" borderId="36" xfId="0" applyFont="1" applyFill="1" applyBorder="1" applyAlignment="1">
      <alignment horizontal="center" vertical="center"/>
    </xf>
    <xf numFmtId="0" fontId="171" fillId="0" borderId="85" xfId="0" applyFont="1" applyFill="1" applyBorder="1" applyAlignment="1">
      <alignment horizontal="center" vertical="center"/>
    </xf>
    <xf numFmtId="0" fontId="171" fillId="0" borderId="279" xfId="0" applyFont="1" applyFill="1" applyBorder="1" applyAlignment="1">
      <alignment horizontal="center" vertical="center"/>
    </xf>
    <xf numFmtId="0" fontId="171" fillId="0" borderId="31" xfId="0" applyFont="1" applyFill="1" applyBorder="1" applyAlignment="1">
      <alignment horizontal="center" vertical="center"/>
    </xf>
    <xf numFmtId="0" fontId="171" fillId="0" borderId="280" xfId="0" applyFont="1" applyFill="1" applyBorder="1" applyAlignment="1">
      <alignment horizontal="center" vertical="center"/>
    </xf>
    <xf numFmtId="0" fontId="143" fillId="0" borderId="280" xfId="0" applyFont="1" applyFill="1" applyBorder="1" applyAlignment="1">
      <alignment horizontal="center" vertical="center"/>
    </xf>
    <xf numFmtId="0" fontId="171" fillId="0" borderId="281" xfId="0" applyFont="1" applyFill="1" applyBorder="1" applyAlignment="1">
      <alignment horizontal="center" vertical="center"/>
    </xf>
    <xf numFmtId="0" fontId="171" fillId="0" borderId="87" xfId="0" applyFont="1" applyFill="1" applyBorder="1" applyAlignment="1">
      <alignment horizontal="center" vertical="center"/>
    </xf>
    <xf numFmtId="0" fontId="171" fillId="0" borderId="282" xfId="0" applyFont="1" applyFill="1" applyBorder="1" applyAlignment="1">
      <alignment horizontal="center" vertical="center"/>
    </xf>
    <xf numFmtId="0" fontId="171" fillId="5" borderId="2" xfId="0" applyNumberFormat="1" applyFont="1" applyFill="1" applyBorder="1" applyAlignment="1">
      <alignment horizontal="center" vertical="center"/>
    </xf>
    <xf numFmtId="0" fontId="171" fillId="5" borderId="32"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220" xfId="0" applyNumberFormat="1" applyFont="1" applyFill="1" applyBorder="1" applyAlignment="1">
      <alignment horizontal="center" vertical="center" wrapText="1"/>
    </xf>
    <xf numFmtId="0" fontId="171" fillId="0" borderId="85" xfId="0" applyNumberFormat="1" applyFont="1" applyFill="1" applyBorder="1" applyAlignment="1">
      <alignment horizontal="center" vertical="center"/>
    </xf>
    <xf numFmtId="0" fontId="171" fillId="0" borderId="279" xfId="0" applyNumberFormat="1" applyFont="1" applyFill="1" applyBorder="1" applyAlignment="1">
      <alignment horizontal="center" vertical="center"/>
    </xf>
    <xf numFmtId="0" fontId="171" fillId="0" borderId="31" xfId="0" applyNumberFormat="1" applyFont="1" applyFill="1" applyBorder="1" applyAlignment="1">
      <alignment horizontal="center" vertical="center"/>
    </xf>
    <xf numFmtId="0" fontId="171" fillId="0" borderId="280" xfId="0" applyNumberFormat="1" applyFont="1" applyFill="1" applyBorder="1" applyAlignment="1">
      <alignment horizontal="center" vertical="center"/>
    </xf>
    <xf numFmtId="0" fontId="171" fillId="0" borderId="281" xfId="0" applyNumberFormat="1" applyFont="1" applyFill="1" applyBorder="1" applyAlignment="1">
      <alignment horizontal="center" vertical="center"/>
    </xf>
    <xf numFmtId="0" fontId="171" fillId="0" borderId="87" xfId="0" applyNumberFormat="1" applyFont="1" applyFill="1" applyBorder="1" applyAlignment="1">
      <alignment horizontal="center" vertical="center"/>
    </xf>
    <xf numFmtId="0" fontId="171" fillId="0" borderId="282" xfId="0" applyNumberFormat="1" applyFont="1" applyFill="1" applyBorder="1" applyAlignment="1">
      <alignment horizontal="center" vertical="center"/>
    </xf>
    <xf numFmtId="0" fontId="2" fillId="6" borderId="86" xfId="0" applyFont="1" applyFill="1" applyBorder="1" applyAlignment="1">
      <alignment horizontal="left" vertical="center"/>
    </xf>
    <xf numFmtId="0" fontId="0" fillId="6" borderId="87" xfId="0" applyFill="1" applyBorder="1" applyAlignment="1">
      <alignment horizontal="center"/>
    </xf>
    <xf numFmtId="0" fontId="2" fillId="6" borderId="88" xfId="0" applyFont="1" applyFill="1" applyBorder="1" applyAlignment="1">
      <alignment horizontal="left" vertical="center"/>
    </xf>
    <xf numFmtId="0" fontId="0" fillId="6" borderId="32" xfId="0" applyFill="1" applyBorder="1" applyAlignment="1">
      <alignment horizontal="center"/>
    </xf>
    <xf numFmtId="49" fontId="3" fillId="6" borderId="31" xfId="0" applyNumberFormat="1" applyFont="1" applyFill="1" applyBorder="1" applyAlignment="1">
      <alignment horizontal="center" vertical="center"/>
    </xf>
    <xf numFmtId="0" fontId="0" fillId="3" borderId="31" xfId="0" applyFill="1" applyBorder="1" applyAlignment="1">
      <alignment horizontal="center" wrapText="1"/>
    </xf>
    <xf numFmtId="0" fontId="2" fillId="3" borderId="31" xfId="0" applyNumberFormat="1" applyFont="1" applyFill="1" applyBorder="1" applyAlignment="1">
      <alignment horizontal="center"/>
    </xf>
    <xf numFmtId="0" fontId="2" fillId="3" borderId="31" xfId="0" applyFont="1" applyFill="1" applyBorder="1"/>
    <xf numFmtId="0" fontId="2" fillId="3" borderId="87" xfId="0" applyFont="1" applyFill="1" applyBorder="1"/>
    <xf numFmtId="49" fontId="0" fillId="6" borderId="2" xfId="0" applyNumberFormat="1" applyFill="1" applyBorder="1" applyAlignment="1">
      <alignment horizontal="left" vertical="center"/>
    </xf>
    <xf numFmtId="0" fontId="2" fillId="3" borderId="2" xfId="0" applyFont="1" applyFill="1" applyBorder="1" applyAlignment="1">
      <alignment horizontal="left"/>
    </xf>
    <xf numFmtId="0" fontId="2" fillId="3" borderId="2" xfId="0" applyFont="1" applyFill="1" applyBorder="1" applyAlignment="1">
      <alignment horizontal="center"/>
    </xf>
    <xf numFmtId="0" fontId="0" fillId="5" borderId="0" xfId="0" applyFill="1" applyAlignment="1">
      <alignment horizontal="left" vertical="center"/>
    </xf>
    <xf numFmtId="0" fontId="2" fillId="5" borderId="0" xfId="0" applyFont="1" applyFill="1" applyBorder="1" applyAlignment="1">
      <alignment horizontal="left" vertical="center"/>
    </xf>
    <xf numFmtId="166" fontId="0" fillId="6" borderId="28" xfId="0" applyNumberFormat="1" applyFill="1" applyBorder="1" applyAlignment="1">
      <alignment horizontal="center" vertical="center"/>
    </xf>
    <xf numFmtId="0" fontId="2" fillId="3" borderId="89" xfId="0" applyFont="1" applyFill="1" applyBorder="1" applyAlignment="1">
      <alignment horizontal="right" vertical="center"/>
    </xf>
    <xf numFmtId="11" fontId="0" fillId="7" borderId="80" xfId="2" applyNumberFormat="1" applyFont="1" applyFill="1" applyBorder="1" applyAlignment="1">
      <alignment horizontal="center" vertical="center"/>
    </xf>
    <xf numFmtId="0" fontId="2" fillId="3" borderId="83" xfId="0" applyFont="1" applyFill="1" applyBorder="1" applyAlignment="1">
      <alignment horizontal="right" vertical="center"/>
    </xf>
    <xf numFmtId="11" fontId="0" fillId="7" borderId="122" xfId="2" applyNumberFormat="1" applyFont="1" applyFill="1" applyBorder="1" applyAlignment="1">
      <alignment horizontal="center" vertical="center"/>
    </xf>
    <xf numFmtId="0" fontId="2" fillId="3" borderId="41" xfId="0" applyFont="1" applyFill="1" applyBorder="1" applyAlignment="1">
      <alignment horizontal="right" vertical="center"/>
    </xf>
    <xf numFmtId="166" fontId="18" fillId="5" borderId="0" xfId="2" applyNumberFormat="1" applyFont="1" applyFill="1" applyBorder="1" applyAlignment="1">
      <alignment horizontal="left" vertical="center"/>
    </xf>
    <xf numFmtId="2" fontId="0" fillId="7" borderId="24" xfId="2" applyNumberFormat="1" applyFont="1" applyFill="1" applyBorder="1" applyAlignment="1">
      <alignment horizontal="center" vertical="center"/>
    </xf>
    <xf numFmtId="165" fontId="0" fillId="7" borderId="80" xfId="2" applyNumberFormat="1" applyFont="1" applyFill="1" applyBorder="1" applyAlignment="1">
      <alignment horizontal="center" vertical="center"/>
    </xf>
    <xf numFmtId="165" fontId="0" fillId="7" borderId="122" xfId="2" applyNumberFormat="1" applyFont="1" applyFill="1" applyBorder="1" applyAlignment="1">
      <alignment horizontal="center" vertical="center"/>
    </xf>
    <xf numFmtId="165" fontId="0" fillId="7" borderId="24" xfId="2" applyNumberFormat="1" applyFont="1" applyFill="1" applyBorder="1" applyAlignment="1">
      <alignment horizontal="center" vertical="center"/>
    </xf>
    <xf numFmtId="0" fontId="3" fillId="3" borderId="2" xfId="0" applyFont="1" applyFill="1" applyBorder="1" applyAlignment="1">
      <alignment horizontal="center" vertical="center"/>
    </xf>
    <xf numFmtId="0" fontId="2" fillId="5" borderId="0" xfId="0" applyFont="1" applyFill="1" applyAlignment="1">
      <alignment horizontal="center"/>
    </xf>
    <xf numFmtId="49" fontId="0" fillId="3" borderId="22" xfId="0" applyNumberFormat="1" applyFill="1" applyBorder="1" applyAlignment="1">
      <alignment horizontal="center" vertical="center"/>
    </xf>
    <xf numFmtId="0" fontId="185" fillId="34" borderId="0" xfId="0" applyNumberFormat="1" applyFont="1" applyFill="1" applyAlignment="1">
      <alignment horizontal="center"/>
    </xf>
  </cellXfs>
  <cellStyles count="3">
    <cellStyle name="Dziesiętny" xfId="2" builtinId="3"/>
    <cellStyle name="Hiperłącze" xfId="1" builtinId="8"/>
    <cellStyle name="Normalny" xfId="0" builtinId="0"/>
  </cellStyles>
  <dxfs count="2">
    <dxf>
      <fill>
        <patternFill>
          <bgColor theme="0" tint="-0.34998626667073579"/>
        </patternFill>
      </fill>
    </dxf>
    <dxf>
      <fill>
        <patternFill>
          <bgColor theme="0" tint="-0.3499862666707357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4EE00"/>
      <rgbColor rgb="00FF00FF"/>
      <rgbColor rgb="0000FFFF"/>
      <rgbColor rgb="00800000"/>
      <rgbColor rgb="00008000"/>
      <rgbColor rgb="00000080"/>
      <rgbColor rgb="00808000"/>
      <rgbColor rgb="00800080"/>
      <rgbColor rgb="00008080"/>
      <rgbColor rgb="00D9D6CF"/>
      <rgbColor rgb="00808080"/>
      <rgbColor rgb="009999FF"/>
      <rgbColor rgb="00993366"/>
      <rgbColor rgb="00F9FCDE"/>
      <rgbColor rgb="00EBF8FF"/>
      <rgbColor rgb="00660066"/>
      <rgbColor rgb="00FF8080"/>
      <rgbColor rgb="000066CC"/>
      <rgbColor rgb="00CCCCFF"/>
      <rgbColor rgb="0009007E"/>
      <rgbColor rgb="00FF00FF"/>
      <rgbColor rgb="00FFFF00"/>
      <rgbColor rgb="0000FFFF"/>
      <rgbColor rgb="00800080"/>
      <rgbColor rgb="00800000"/>
      <rgbColor rgb="00008080"/>
      <rgbColor rgb="000000FF"/>
      <rgbColor rgb="0000CCFF"/>
      <rgbColor rgb="00F1F4F5"/>
      <rgbColor rgb="00CCFFCC"/>
      <rgbColor rgb="00FFFF99"/>
      <rgbColor rgb="00C6DDF4"/>
      <rgbColor rgb="00FF99CC"/>
      <rgbColor rgb="00CC99FF"/>
      <rgbColor rgb="00FFEBD2"/>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chart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t-BR" sz="1300" b="1" i="0" strike="noStrike">
                <a:solidFill>
                  <a:srgbClr val="000000"/>
                </a:solidFill>
                <a:latin typeface="Arial"/>
                <a:cs typeface="Arial"/>
              </a:rPr>
              <a:t>Titration of  20 mL</a:t>
            </a:r>
            <a:r>
              <a:rPr lang="pt-BR" sz="1300" b="1" i="0" strike="noStrike" baseline="0">
                <a:solidFill>
                  <a:srgbClr val="000000"/>
                </a:solidFill>
                <a:latin typeface="Arial"/>
                <a:cs typeface="Arial"/>
              </a:rPr>
              <a:t> of  </a:t>
            </a:r>
            <a:r>
              <a:rPr lang="pt-BR" sz="1200" b="1" i="0" u="none" strike="noStrike" baseline="0">
                <a:sym typeface="Symbol"/>
              </a:rPr>
              <a:t></a:t>
            </a:r>
            <a:r>
              <a:rPr lang="pt-BR" sz="1200" b="1" i="0" u="none" strike="noStrike" baseline="0"/>
              <a:t>0.1 mol/L </a:t>
            </a:r>
            <a:r>
              <a:rPr lang="pt-BR" sz="1300" b="1" i="0" strike="noStrike">
                <a:solidFill>
                  <a:srgbClr val="000000"/>
                </a:solidFill>
                <a:latin typeface="Arial"/>
                <a:cs typeface="Arial"/>
              </a:rPr>
              <a:t>acetic acid with 0.100 mol/L strong base</a:t>
            </a:r>
          </a:p>
        </c:rich>
      </c:tx>
      <c:layout>
        <c:manualLayout>
          <c:xMode val="edge"/>
          <c:yMode val="edge"/>
          <c:x val="0.10244290359227484"/>
          <c:y val="1.9697168535751219E-2"/>
        </c:manualLayout>
      </c:layout>
      <c:spPr>
        <a:noFill/>
        <a:ln w="25400">
          <a:noFill/>
        </a:ln>
      </c:spPr>
    </c:title>
    <c:plotArea>
      <c:layout>
        <c:manualLayout>
          <c:layoutTarget val="inner"/>
          <c:xMode val="edge"/>
          <c:yMode val="edge"/>
          <c:x val="0.10192860685269106"/>
          <c:y val="9.1363868324025793E-2"/>
          <c:w val="0.86733983421390992"/>
          <c:h val="0.7776316745689652"/>
        </c:manualLayout>
      </c:layout>
      <c:scatterChart>
        <c:scatterStyle val="smoothMarker"/>
        <c:ser>
          <c:idx val="0"/>
          <c:order val="0"/>
          <c:tx>
            <c:v>pH_sim</c:v>
          </c:tx>
          <c:spPr>
            <a:ln w="28575">
              <a:solidFill>
                <a:srgbClr val="002060"/>
              </a:solidFill>
              <a:prstDash val="solid"/>
            </a:ln>
          </c:spPr>
          <c:marker>
            <c:symbol val="square"/>
            <c:size val="3"/>
            <c:spPr>
              <a:solidFill>
                <a:srgbClr val="FFFF00"/>
              </a:solidFill>
              <a:ln>
                <a:solidFill>
                  <a:srgbClr val="FF0000"/>
                </a:solidFill>
                <a:prstDash val="solid"/>
              </a:ln>
            </c:spPr>
          </c:marker>
          <c:xVal>
            <c:numRef>
              <c:f>Titration!$C$41:$C$162</c:f>
              <c:numCache>
                <c:formatCode>0.000</c:formatCode>
                <c:ptCount val="122"/>
                <c:pt idx="0">
                  <c:v>0</c:v>
                </c:pt>
                <c:pt idx="1">
                  <c:v>2</c:v>
                </c:pt>
                <c:pt idx="2">
                  <c:v>4</c:v>
                </c:pt>
                <c:pt idx="3">
                  <c:v>6</c:v>
                </c:pt>
                <c:pt idx="4">
                  <c:v>8</c:v>
                </c:pt>
                <c:pt idx="5">
                  <c:v>10</c:v>
                </c:pt>
                <c:pt idx="6">
                  <c:v>12</c:v>
                </c:pt>
                <c:pt idx="7">
                  <c:v>13</c:v>
                </c:pt>
                <c:pt idx="8">
                  <c:v>14</c:v>
                </c:pt>
                <c:pt idx="9">
                  <c:v>15</c:v>
                </c:pt>
                <c:pt idx="10">
                  <c:v>16</c:v>
                </c:pt>
                <c:pt idx="11">
                  <c:v>16.5</c:v>
                </c:pt>
                <c:pt idx="12">
                  <c:v>17</c:v>
                </c:pt>
                <c:pt idx="13">
                  <c:v>17.5</c:v>
                </c:pt>
                <c:pt idx="14">
                  <c:v>18</c:v>
                </c:pt>
                <c:pt idx="15">
                  <c:v>18.5</c:v>
                </c:pt>
                <c:pt idx="16">
                  <c:v>19</c:v>
                </c:pt>
                <c:pt idx="17">
                  <c:v>19.5</c:v>
                </c:pt>
                <c:pt idx="18">
                  <c:v>19.7</c:v>
                </c:pt>
                <c:pt idx="19">
                  <c:v>19.8</c:v>
                </c:pt>
                <c:pt idx="20">
                  <c:v>19.900000000000002</c:v>
                </c:pt>
                <c:pt idx="21">
                  <c:v>19.950000000000003</c:v>
                </c:pt>
                <c:pt idx="22">
                  <c:v>19.970000000000002</c:v>
                </c:pt>
                <c:pt idx="23">
                  <c:v>19.980000000000004</c:v>
                </c:pt>
                <c:pt idx="24">
                  <c:v>19.990000000000006</c:v>
                </c:pt>
                <c:pt idx="25">
                  <c:v>20.000000000000007</c:v>
                </c:pt>
                <c:pt idx="26">
                  <c:v>20.010000000000009</c:v>
                </c:pt>
                <c:pt idx="27">
                  <c:v>20.02000000000001</c:v>
                </c:pt>
                <c:pt idx="28">
                  <c:v>20.030000000000012</c:v>
                </c:pt>
                <c:pt idx="29">
                  <c:v>20.040000000000013</c:v>
                </c:pt>
                <c:pt idx="30">
                  <c:v>20.060000000000013</c:v>
                </c:pt>
                <c:pt idx="31">
                  <c:v>20.110000000000014</c:v>
                </c:pt>
                <c:pt idx="32">
                  <c:v>20.210000000000015</c:v>
                </c:pt>
                <c:pt idx="33">
                  <c:v>20.410000000000014</c:v>
                </c:pt>
                <c:pt idx="34">
                  <c:v>20.910000000000014</c:v>
                </c:pt>
                <c:pt idx="35">
                  <c:v>21.410000000000014</c:v>
                </c:pt>
                <c:pt idx="36">
                  <c:v>21.910000000000014</c:v>
                </c:pt>
                <c:pt idx="37">
                  <c:v>22.910000000000014</c:v>
                </c:pt>
                <c:pt idx="38">
                  <c:v>23.910000000000014</c:v>
                </c:pt>
                <c:pt idx="39">
                  <c:v>25.910000000000014</c:v>
                </c:pt>
                <c:pt idx="40">
                  <c:v>27.910000000000014</c:v>
                </c:pt>
              </c:numCache>
            </c:numRef>
          </c:xVal>
          <c:yVal>
            <c:numRef>
              <c:f>Titration!$D$41:$D$162</c:f>
              <c:numCache>
                <c:formatCode>0.000</c:formatCode>
                <c:ptCount val="122"/>
                <c:pt idx="0">
                  <c:v>2.8732302361167967</c:v>
                </c:pt>
                <c:pt idx="1">
                  <c:v>3.8085675346665084</c:v>
                </c:pt>
                <c:pt idx="2">
                  <c:v>4.1558583942241967</c:v>
                </c:pt>
                <c:pt idx="3">
                  <c:v>4.3890868783928454</c:v>
                </c:pt>
                <c:pt idx="4">
                  <c:v>4.5806689499877393</c:v>
                </c:pt>
                <c:pt idx="5">
                  <c:v>4.756587051320821</c:v>
                </c:pt>
                <c:pt idx="6">
                  <c:v>4.9325233497656882</c:v>
                </c:pt>
                <c:pt idx="7">
                  <c:v>5.0251862998120487</c:v>
                </c:pt>
                <c:pt idx="8">
                  <c:v>5.1242044870741665</c:v>
                </c:pt>
                <c:pt idx="9">
                  <c:v>5.2331966585479677</c:v>
                </c:pt>
                <c:pt idx="10">
                  <c:v>5.357911869417876</c:v>
                </c:pt>
                <c:pt idx="11">
                  <c:v>5.4291094332002103</c:v>
                </c:pt>
                <c:pt idx="12">
                  <c:v>5.508810659404844</c:v>
                </c:pt>
                <c:pt idx="13">
                  <c:v>5.6002865410409868</c:v>
                </c:pt>
                <c:pt idx="14">
                  <c:v>5.7089888504706323</c:v>
                </c:pt>
                <c:pt idx="15">
                  <c:v>5.8450874635018408</c:v>
                </c:pt>
                <c:pt idx="16">
                  <c:v>6.0312710306607187</c:v>
                </c:pt>
                <c:pt idx="17">
                  <c:v>6.3390276008285582</c:v>
                </c:pt>
                <c:pt idx="18">
                  <c:v>6.5590608413331211</c:v>
                </c:pt>
                <c:pt idx="19">
                  <c:v>6.729320949409157</c:v>
                </c:pt>
                <c:pt idx="20">
                  <c:v>7.0075858007185161</c:v>
                </c:pt>
                <c:pt idx="21">
                  <c:v>7.2593171945773065</c:v>
                </c:pt>
                <c:pt idx="22">
                  <c:v>7.4183593583293259</c:v>
                </c:pt>
                <c:pt idx="23">
                  <c:v>7.524222097825259</c:v>
                </c:pt>
                <c:pt idx="24">
                  <c:v>7.6604494755156338</c:v>
                </c:pt>
                <c:pt idx="25">
                  <c:v>7.8499296265654266</c:v>
                </c:pt>
                <c:pt idx="26">
                  <c:v>8.1557883764617145</c:v>
                </c:pt>
                <c:pt idx="27">
                  <c:v>8.8002537922002375</c:v>
                </c:pt>
                <c:pt idx="28">
                  <c:v>9.420395974535495</c:v>
                </c:pt>
                <c:pt idx="29">
                  <c:v>9.7021594396792352</c:v>
                </c:pt>
                <c:pt idx="30">
                  <c:v>9.9977490934543312</c:v>
                </c:pt>
                <c:pt idx="31">
                  <c:v>10.347956786397845</c:v>
                </c:pt>
                <c:pt idx="32">
                  <c:v>10.671109877061099</c:v>
                </c:pt>
                <c:pt idx="33">
                  <c:v>10.981203193310648</c:v>
                </c:pt>
                <c:pt idx="34">
                  <c:v>11.334167880471796</c:v>
                </c:pt>
                <c:pt idx="35">
                  <c:v>11.522510181646794</c:v>
                </c:pt>
                <c:pt idx="36">
                  <c:v>11.65073959948495</c:v>
                </c:pt>
                <c:pt idx="37">
                  <c:v>11.824925706256181</c:v>
                </c:pt>
                <c:pt idx="38">
                  <c:v>11.943964170757681</c:v>
                </c:pt>
                <c:pt idx="39">
                  <c:v>12.104770549107343</c:v>
                </c:pt>
                <c:pt idx="40">
                  <c:v>12.21319927694276</c:v>
                </c:pt>
              </c:numCache>
            </c:numRef>
          </c:yVal>
          <c:smooth val="1"/>
        </c:ser>
        <c:axId val="262997504"/>
        <c:axId val="263032832"/>
      </c:scatterChart>
      <c:valAx>
        <c:axId val="262997504"/>
        <c:scaling>
          <c:orientation val="minMax"/>
          <c:min val="0"/>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82037319957"/>
              <c:y val="0.9279475860971926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3032832"/>
        <c:crosses val="autoZero"/>
        <c:crossBetween val="midCat"/>
      </c:valAx>
      <c:valAx>
        <c:axId val="263032832"/>
        <c:scaling>
          <c:orientation val="minMax"/>
          <c:max val="13"/>
          <c:min val="1"/>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85710554843E-2"/>
              <c:y val="0.426506004931201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299750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l-PL" sz="1300" b="1" i="0" u="none" strike="noStrike" baseline="0">
                <a:solidFill>
                  <a:srgbClr val="000000"/>
                </a:solidFill>
                <a:latin typeface="Arial"/>
                <a:cs typeface="Arial"/>
              </a:rPr>
              <a:t>Titrations of hydrochloric, glutamic and phosphoric acids </a:t>
            </a:r>
          </a:p>
          <a:p>
            <a:pPr>
              <a:defRPr sz="1200" b="0" i="0" u="none" strike="noStrike" baseline="0">
                <a:solidFill>
                  <a:srgbClr val="000000"/>
                </a:solidFill>
                <a:latin typeface="Arial"/>
                <a:ea typeface="Arial"/>
                <a:cs typeface="Arial"/>
              </a:defRPr>
            </a:pPr>
            <a:r>
              <a:rPr lang="pl-PL" sz="1300" b="0" i="0" u="none" strike="noStrike" baseline="0">
                <a:solidFill>
                  <a:srgbClr val="000000"/>
                </a:solidFill>
                <a:latin typeface="Arial"/>
                <a:cs typeface="Arial"/>
              </a:rPr>
              <a:t>(20 mL, 0.05 mol/L, with 0.1 mol/L NaOH)</a:t>
            </a:r>
            <a:r>
              <a:rPr lang="pl-PL" sz="1300" b="1" i="0" u="none" strike="noStrike" baseline="0">
                <a:solidFill>
                  <a:srgbClr val="000000"/>
                </a:solidFill>
                <a:latin typeface="Arial"/>
                <a:cs typeface="Arial"/>
              </a:rPr>
              <a:t> </a:t>
            </a:r>
          </a:p>
        </c:rich>
      </c:tx>
      <c:layout>
        <c:manualLayout>
          <c:xMode val="edge"/>
          <c:yMode val="edge"/>
          <c:x val="0.14934417436950814"/>
          <c:y val="1.2048538775702368E-2"/>
        </c:manualLayout>
      </c:layout>
      <c:spPr>
        <a:noFill/>
        <a:ln w="25400">
          <a:noFill/>
        </a:ln>
      </c:spPr>
    </c:title>
    <c:plotArea>
      <c:layout>
        <c:manualLayout>
          <c:layoutTarget val="inner"/>
          <c:xMode val="edge"/>
          <c:yMode val="edge"/>
          <c:x val="8.9160199935860746E-2"/>
          <c:y val="6.3318777292576414E-2"/>
          <c:w val="0.88193216009574993"/>
          <c:h val="0.80567685589520011"/>
        </c:manualLayout>
      </c:layout>
      <c:scatterChart>
        <c:scatterStyle val="smoothMarker"/>
        <c:ser>
          <c:idx val="0"/>
          <c:order val="0"/>
          <c:tx>
            <c:v>pH_sim</c:v>
          </c:tx>
          <c:spPr>
            <a:ln w="12700">
              <a:solidFill>
                <a:srgbClr val="09007E"/>
              </a:solidFill>
              <a:prstDash val="solid"/>
            </a:ln>
          </c:spPr>
          <c:marker>
            <c:symbol val="diamond"/>
            <c:size val="5"/>
            <c:spPr>
              <a:solidFill>
                <a:srgbClr val="09007E"/>
              </a:solidFill>
              <a:ln>
                <a:solidFill>
                  <a:srgbClr val="09007E"/>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Simulation!$B$41:$B$201</c:f>
              <c:numCache>
                <c:formatCode>0.000</c:formatCode>
                <c:ptCount val="161"/>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ser>
          <c:idx val="1"/>
          <c:order val="1"/>
          <c:tx>
            <c:v>pH_sim_disp</c:v>
          </c:tx>
          <c:spPr>
            <a:ln w="28575">
              <a:noFill/>
            </a:ln>
          </c:spPr>
          <c:marker>
            <c:symbol val="square"/>
            <c:size val="3"/>
            <c:spPr>
              <a:solidFill>
                <a:srgbClr val="F4EE00"/>
              </a:solidFill>
              <a:ln>
                <a:solidFill>
                  <a:srgbClr val="FF0000"/>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Simulation!$D$41:$D$201</c:f>
              <c:numCache>
                <c:formatCode>0.000</c:formatCode>
                <c:ptCount val="161"/>
              </c:numCache>
            </c:numRef>
          </c:yVal>
          <c:smooth val="1"/>
        </c:ser>
        <c:ser>
          <c:idx val="2"/>
          <c:order val="2"/>
          <c:tx>
            <c:v>ret_1</c:v>
          </c:tx>
          <c:spPr>
            <a:ln w="12700">
              <a:solidFill>
                <a:srgbClr val="000080"/>
              </a:solidFill>
              <a:prstDash val="solid"/>
            </a:ln>
          </c:spPr>
          <c:marker>
            <c:symbol val="triangle"/>
            <c:size val="5"/>
            <c:spPr>
              <a:solidFill>
                <a:srgbClr val="FFFF00"/>
              </a:solidFill>
              <a:ln>
                <a:solidFill>
                  <a:srgbClr val="000080"/>
                </a:solidFill>
                <a:prstDash val="solid"/>
              </a:ln>
            </c:spPr>
          </c:marker>
          <c:xVal>
            <c:numRef>
              <c:f>Simulation!$BA$41:$BA$201</c:f>
              <c:numCache>
                <c:formatCode>General</c:formatCode>
                <c:ptCount val="161"/>
                <c:pt idx="0">
                  <c:v>0</c:v>
                </c:pt>
                <c:pt idx="1">
                  <c:v>0.68944716913392767</c:v>
                </c:pt>
                <c:pt idx="2">
                  <c:v>1.4582087154849432</c:v>
                </c:pt>
                <c:pt idx="3">
                  <c:v>2.3542375754914246</c:v>
                </c:pt>
                <c:pt idx="4">
                  <c:v>3.3856183566967957</c:v>
                </c:pt>
                <c:pt idx="5">
                  <c:v>4.5085039237164892</c:v>
                </c:pt>
                <c:pt idx="6">
                  <c:v>5.6376073000137694</c:v>
                </c:pt>
                <c:pt idx="7">
                  <c:v>6.6790875498554669</c:v>
                </c:pt>
                <c:pt idx="8">
                  <c:v>7.5649809048627503</c:v>
                </c:pt>
                <c:pt idx="9">
                  <c:v>8.2683403175906278</c:v>
                </c:pt>
                <c:pt idx="10">
                  <c:v>8.7971470828051679</c:v>
                </c:pt>
                <c:pt idx="11">
                  <c:v>9.1788289413671009</c:v>
                </c:pt>
                <c:pt idx="12">
                  <c:v>9.4463911591446958</c:v>
                </c:pt>
                <c:pt idx="13">
                  <c:v>9.6302381294663064</c:v>
                </c:pt>
                <c:pt idx="14">
                  <c:v>9.7549627986154519</c:v>
                </c:pt>
                <c:pt idx="15">
                  <c:v>9.8390408456907608</c:v>
                </c:pt>
                <c:pt idx="16">
                  <c:v>9.8957675087149255</c:v>
                </c:pt>
                <c:pt idx="17">
                  <c:v>9.9345023700152524</c:v>
                </c:pt>
                <c:pt idx="18">
                  <c:v>9.9618181542609818</c:v>
                </c:pt>
                <c:pt idx="19">
                  <c:v>9.9824373712181114</c:v>
                </c:pt>
                <c:pt idx="20">
                  <c:v>9.999968706688378</c:v>
                </c:pt>
                <c:pt idx="21">
                  <c:v>10.017501802940387</c:v>
                </c:pt>
                <c:pt idx="22">
                  <c:v>10.038132137560751</c:v>
                </c:pt>
                <c:pt idx="23">
                  <c:v>10.065490762644913</c:v>
                </c:pt>
                <c:pt idx="24">
                  <c:v>10.104356806550641</c:v>
                </c:pt>
                <c:pt idx="25">
                  <c:v>10.161435448389966</c:v>
                </c:pt>
                <c:pt idx="26">
                  <c:v>10.24638257076731</c:v>
                </c:pt>
                <c:pt idx="27">
                  <c:v>10.373125404294115</c:v>
                </c:pt>
                <c:pt idx="28">
                  <c:v>10.561402533494402</c:v>
                </c:pt>
                <c:pt idx="29">
                  <c:v>10.838089119351935</c:v>
                </c:pt>
                <c:pt idx="30">
                  <c:v>11.237055245146621</c:v>
                </c:pt>
                <c:pt idx="31">
                  <c:v>11.794926707807463</c:v>
                </c:pt>
                <c:pt idx="32">
                  <c:v>12.539179688610602</c:v>
                </c:pt>
                <c:pt idx="33">
                  <c:v>13.468123345228378</c:v>
                </c:pt>
                <c:pt idx="34">
                  <c:v>14.532993528700899</c:v>
                </c:pt>
                <c:pt idx="35">
                  <c:v>15.64163693547016</c:v>
                </c:pt>
                <c:pt idx="36">
                  <c:v>16.690479229146149</c:v>
                </c:pt>
                <c:pt idx="37">
                  <c:v>17.603331759164575</c:v>
                </c:pt>
                <c:pt idx="38">
                  <c:v>18.35030156216817</c:v>
                </c:pt>
                <c:pt idx="39">
                  <c:v>18.942612658429425</c:v>
                </c:pt>
                <c:pt idx="40">
                  <c:v>19.416979695961345</c:v>
                </c:pt>
                <c:pt idx="41">
                  <c:v>19.822495484550018</c:v>
                </c:pt>
                <c:pt idx="42">
                  <c:v>20.215055385779124</c:v>
                </c:pt>
                <c:pt idx="43">
                  <c:v>20.659375215473119</c:v>
                </c:pt>
                <c:pt idx="44">
                  <c:v>21.238175708276685</c:v>
                </c:pt>
                <c:pt idx="45">
                  <c:v>22.070677862211596</c:v>
                </c:pt>
                <c:pt idx="46">
                  <c:v>23.348587220243644</c:v>
                </c:pt>
                <c:pt idx="47">
                  <c:v>25.413084276078735</c:v>
                </c:pt>
                <c:pt idx="48">
                  <c:v>28.945042788109276</c:v>
                </c:pt>
                <c:pt idx="49">
                  <c:v>35.536279213556554</c:v>
                </c:pt>
                <c:pt idx="50">
                  <c:v>49.999999986903276</c:v>
                </c:pt>
              </c:numCache>
            </c:numRef>
          </c:xVal>
          <c:yVal>
            <c:numRef>
              <c:f>Simulation!$BB$41:$BB$201</c:f>
              <c:numCache>
                <c:formatCode>General</c:formatCode>
                <c:ptCount val="161"/>
                <c:pt idx="0">
                  <c:v>3.353082640741027</c:v>
                </c:pt>
                <c:pt idx="1">
                  <c:v>3.5408274918499165</c:v>
                </c:pt>
                <c:pt idx="2">
                  <c:v>3.7289556504310046</c:v>
                </c:pt>
                <c:pt idx="3">
                  <c:v>3.9171403658690189</c:v>
                </c:pt>
                <c:pt idx="4">
                  <c:v>4.104981039261852</c:v>
                </c:pt>
                <c:pt idx="5">
                  <c:v>4.2921165891014637</c:v>
                </c:pt>
                <c:pt idx="6">
                  <c:v>4.478332619621276</c:v>
                </c:pt>
                <c:pt idx="7">
                  <c:v>4.6635941782915484</c:v>
                </c:pt>
                <c:pt idx="8">
                  <c:v>4.8480013819512893</c:v>
                </c:pt>
                <c:pt idx="9">
                  <c:v>5.031717381531374</c:v>
                </c:pt>
                <c:pt idx="10">
                  <c:v>5.2149114594288255</c:v>
                </c:pt>
                <c:pt idx="11">
                  <c:v>5.3977294222803902</c:v>
                </c:pt>
                <c:pt idx="12">
                  <c:v>5.5802847581417367</c:v>
                </c:pt>
                <c:pt idx="13">
                  <c:v>5.7626606426347093</c:v>
                </c:pt>
                <c:pt idx="14">
                  <c:v>5.9449158555196302</c:v>
                </c:pt>
                <c:pt idx="15">
                  <c:v>6.1270910859581083</c:v>
                </c:pt>
                <c:pt idx="16">
                  <c:v>6.309214284576151</c:v>
                </c:pt>
                <c:pt idx="17">
                  <c:v>6.4913047943471502</c:v>
                </c:pt>
                <c:pt idx="18">
                  <c:v>6.6733764198713299</c:v>
                </c:pt>
                <c:pt idx="19">
                  <c:v>6.8554397171627715</c:v>
                </c:pt>
                <c:pt idx="20">
                  <c:v>7.0375037897783503</c:v>
                </c:pt>
                <c:pt idx="21">
                  <c:v>7.2195778494024481</c:v>
                </c:pt>
                <c:pt idx="22">
                  <c:v>7.4016727738094703</c:v>
                </c:pt>
                <c:pt idx="23">
                  <c:v>7.583802879029677</c:v>
                </c:pt>
                <c:pt idx="24">
                  <c:v>7.7659881028362863</c:v>
                </c:pt>
                <c:pt idx="25">
                  <c:v>7.9482567330789253</c:v>
                </c:pt>
                <c:pt idx="26">
                  <c:v>8.1306486159801228</c:v>
                </c:pt>
                <c:pt idx="27">
                  <c:v>8.3132182670395611</c:v>
                </c:pt>
                <c:pt idx="28">
                  <c:v>8.4960361896367385</c:v>
                </c:pt>
                <c:pt idx="29">
                  <c:v>8.6791847181656561</c:v>
                </c:pt>
                <c:pt idx="30">
                  <c:v>8.8627423063257744</c:v>
                </c:pt>
                <c:pt idx="31">
                  <c:v>9.04675039255517</c:v>
                </c:pt>
                <c:pt idx="32">
                  <c:v>9.231166912280317</c:v>
                </c:pt>
                <c:pt idx="33">
                  <c:v>9.4158342111909406</c:v>
                </c:pt>
                <c:pt idx="34">
                  <c:v>9.60050443993714</c:v>
                </c:pt>
                <c:pt idx="35">
                  <c:v>9.7849285539922946</c:v>
                </c:pt>
                <c:pt idx="36">
                  <c:v>9.9689466492654955</c:v>
                </c:pt>
                <c:pt idx="37">
                  <c:v>10.152515464383894</c:v>
                </c:pt>
                <c:pt idx="38">
                  <c:v>10.335676962617459</c:v>
                </c:pt>
                <c:pt idx="39">
                  <c:v>10.518511475237084</c:v>
                </c:pt>
                <c:pt idx="40">
                  <c:v>10.701104280413743</c:v>
                </c:pt>
                <c:pt idx="41">
                  <c:v>10.883530080759435</c:v>
                </c:pt>
                <c:pt idx="42">
                  <c:v>11.065849475536167</c:v>
                </c:pt>
                <c:pt idx="43">
                  <c:v>11.248111321477786</c:v>
                </c:pt>
                <c:pt idx="44">
                  <c:v>11.430357396969191</c:v>
                </c:pt>
                <c:pt idx="45">
                  <c:v>11.612627884233907</c:v>
                </c:pt>
                <c:pt idx="46">
                  <c:v>11.794967391156714</c:v>
                </c:pt>
                <c:pt idx="47">
                  <c:v>11.977431804206329</c:v>
                </c:pt>
                <c:pt idx="48">
                  <c:v>12.160096419814815</c:v>
                </c:pt>
                <c:pt idx="49">
                  <c:v>12.343065535500466</c:v>
                </c:pt>
                <c:pt idx="50">
                  <c:v>12.52648266198166</c:v>
                </c:pt>
              </c:numCache>
            </c:numRef>
          </c:yVal>
          <c:smooth val="1"/>
        </c:ser>
        <c:ser>
          <c:idx val="3"/>
          <c:order val="3"/>
          <c:tx>
            <c:v>ret_2</c:v>
          </c:tx>
          <c:spPr>
            <a:ln w="12700">
              <a:solidFill>
                <a:srgbClr val="800000"/>
              </a:solidFill>
              <a:prstDash val="solid"/>
            </a:ln>
          </c:spPr>
          <c:marker>
            <c:symbol val="x"/>
            <c:size val="5"/>
            <c:spPr>
              <a:noFill/>
              <a:ln>
                <a:solidFill>
                  <a:srgbClr val="800000"/>
                </a:solidFill>
                <a:prstDash val="solid"/>
              </a:ln>
            </c:spPr>
          </c:marker>
          <c:xVal>
            <c:numRef>
              <c:f>Simulation!$BC$41:$BC$201</c:f>
              <c:numCache>
                <c:formatCode>General</c:formatCode>
                <c:ptCount val="161"/>
                <c:pt idx="0">
                  <c:v>0</c:v>
                </c:pt>
                <c:pt idx="1">
                  <c:v>3.1178095916402526</c:v>
                </c:pt>
                <c:pt idx="2">
                  <c:v>5.4830842549563386</c:v>
                </c:pt>
                <c:pt idx="3">
                  <c:v>7.1361621594405733</c:v>
                </c:pt>
                <c:pt idx="4">
                  <c:v>8.2263623175094835</c:v>
                </c:pt>
                <c:pt idx="5">
                  <c:v>8.9180936905904673</c:v>
                </c:pt>
                <c:pt idx="6">
                  <c:v>9.346292847476434</c:v>
                </c:pt>
                <c:pt idx="7">
                  <c:v>9.6073197331861593</c:v>
                </c:pt>
                <c:pt idx="8">
                  <c:v>9.7649527495377697</c:v>
                </c:pt>
                <c:pt idx="9">
                  <c:v>9.8596074545639567</c:v>
                </c:pt>
                <c:pt idx="10">
                  <c:v>9.9162514918134548</c:v>
                </c:pt>
                <c:pt idx="11">
                  <c:v>9.9500796364736743</c:v>
                </c:pt>
                <c:pt idx="12">
                  <c:v>9.9702573395916261</c:v>
                </c:pt>
                <c:pt idx="13">
                  <c:v>9.9822841104469262</c:v>
                </c:pt>
                <c:pt idx="14">
                  <c:v>9.9894494880572893</c:v>
                </c:pt>
                <c:pt idx="15">
                  <c:v>9.9937174454680644</c:v>
                </c:pt>
                <c:pt idx="16">
                  <c:v>9.9962592605152167</c:v>
                </c:pt>
                <c:pt idx="17">
                  <c:v>9.9977730118553154</c:v>
                </c:pt>
                <c:pt idx="18">
                  <c:v>9.9986746281501837</c:v>
                </c:pt>
                <c:pt idx="19">
                  <c:v>9.9992118965019472</c:v>
                </c:pt>
                <c:pt idx="20">
                  <c:v>9.9995325042982586</c:v>
                </c:pt>
                <c:pt idx="21">
                  <c:v>9.9997245837585069</c:v>
                </c:pt>
                <c:pt idx="22">
                  <c:v>9.9998409408726729</c:v>
                </c:pt>
                <c:pt idx="23">
                  <c:v>9.9999135694815777</c:v>
                </c:pt>
                <c:pt idx="24">
                  <c:v>9.9999624319025315</c:v>
                </c:pt>
                <c:pt idx="25">
                  <c:v>10.000000968284439</c:v>
                </c:pt>
                <c:pt idx="26">
                  <c:v>10.000039772421587</c:v>
                </c:pt>
                <c:pt idx="27">
                  <c:v>10.000089510867838</c:v>
                </c:pt>
                <c:pt idx="28">
                  <c:v>10.000163859513123</c:v>
                </c:pt>
                <c:pt idx="29">
                  <c:v>10.000283257977571</c:v>
                </c:pt>
                <c:pt idx="30">
                  <c:v>10.000480541202705</c:v>
                </c:pt>
                <c:pt idx="31">
                  <c:v>10.000809955818113</c:v>
                </c:pt>
                <c:pt idx="32">
                  <c:v>10.001362081675325</c:v>
                </c:pt>
                <c:pt idx="33">
                  <c:v>10.002288770920131</c:v>
                </c:pt>
                <c:pt idx="34">
                  <c:v>10.003844932361972</c:v>
                </c:pt>
                <c:pt idx="35">
                  <c:v>10.006458779389504</c:v>
                </c:pt>
                <c:pt idx="36">
                  <c:v>10.010849985701498</c:v>
                </c:pt>
                <c:pt idx="37">
                  <c:v>10.018228740955237</c:v>
                </c:pt>
                <c:pt idx="38">
                  <c:v>10.03063188836677</c:v>
                </c:pt>
                <c:pt idx="39">
                  <c:v>10.051492501224857</c:v>
                </c:pt>
                <c:pt idx="40">
                  <c:v>10.086610914731864</c:v>
                </c:pt>
                <c:pt idx="41">
                  <c:v>10.145826595544349</c:v>
                </c:pt>
                <c:pt idx="42">
                  <c:v>10.245943551126402</c:v>
                </c:pt>
                <c:pt idx="43">
                  <c:v>10.415984124119859</c:v>
                </c:pt>
                <c:pt idx="44">
                  <c:v>10.707017914683092</c:v>
                </c:pt>
                <c:pt idx="45">
                  <c:v>11.211729601200204</c:v>
                </c:pt>
                <c:pt idx="46">
                  <c:v>12.107096232648473</c:v>
                </c:pt>
                <c:pt idx="47">
                  <c:v>13.760415789147373</c:v>
                </c:pt>
                <c:pt idx="48">
                  <c:v>17.047096470196266</c:v>
                </c:pt>
                <c:pt idx="49">
                  <c:v>24.627392178808805</c:v>
                </c:pt>
                <c:pt idx="50">
                  <c:v>49.999999998544808</c:v>
                </c:pt>
              </c:numCache>
            </c:numRef>
          </c:xVal>
          <c:yVal>
            <c:numRef>
              <c:f>Simulation!$BD$41:$BD$201</c:f>
              <c:numCache>
                <c:formatCode>General</c:formatCode>
                <c:ptCount val="161"/>
                <c:pt idx="0">
                  <c:v>1.3864116955262979</c:v>
                </c:pt>
                <c:pt idx="1">
                  <c:v>1.6072509629846639</c:v>
                </c:pt>
                <c:pt idx="2">
                  <c:v>1.8295767720077105</c:v>
                </c:pt>
                <c:pt idx="3">
                  <c:v>2.0529474593634975</c:v>
                </c:pt>
                <c:pt idx="4">
                  <c:v>2.2770093808906511</c:v>
                </c:pt>
                <c:pt idx="5">
                  <c:v>2.5015107349928822</c:v>
                </c:pt>
                <c:pt idx="6">
                  <c:v>2.7262844425341055</c:v>
                </c:pt>
                <c:pt idx="7">
                  <c:v>2.9512243027203571</c:v>
                </c:pt>
                <c:pt idx="8">
                  <c:v>3.1762645496567417</c:v>
                </c:pt>
                <c:pt idx="9">
                  <c:v>3.4013650938911701</c:v>
                </c:pt>
                <c:pt idx="10">
                  <c:v>3.6265017280784404</c:v>
                </c:pt>
                <c:pt idx="11">
                  <c:v>3.8516599176710975</c:v>
                </c:pt>
                <c:pt idx="12">
                  <c:v>4.0768309653786892</c:v>
                </c:pt>
                <c:pt idx="13">
                  <c:v>4.3020096773616689</c:v>
                </c:pt>
                <c:pt idx="14">
                  <c:v>4.5271929557213983</c:v>
                </c:pt>
                <c:pt idx="15">
                  <c:v>4.7523789540175265</c:v>
                </c:pt>
                <c:pt idx="16">
                  <c:v>4.9775665722206686</c:v>
                </c:pt>
                <c:pt idx="17">
                  <c:v>5.202755155161106</c:v>
                </c:pt>
                <c:pt idx="18">
                  <c:v>5.427944312752996</c:v>
                </c:pt>
                <c:pt idx="19">
                  <c:v>5.6531338128240902</c:v>
                </c:pt>
                <c:pt idx="20">
                  <c:v>5.8783235173525084</c:v>
                </c:pt>
                <c:pt idx="21">
                  <c:v>6.1035133445166174</c:v>
                </c:pt>
                <c:pt idx="22">
                  <c:v>6.3287032462111243</c:v>
                </c:pt>
                <c:pt idx="23">
                  <c:v>6.5538931948217449</c:v>
                </c:pt>
                <c:pt idx="24">
                  <c:v>6.7790831756342191</c:v>
                </c:pt>
                <c:pt idx="25">
                  <c:v>7.0042731827829474</c:v>
                </c:pt>
                <c:pt idx="26">
                  <c:v>7.2294632176513396</c:v>
                </c:pt>
                <c:pt idx="27">
                  <c:v>7.454653289233244</c:v>
                </c:pt>
                <c:pt idx="28">
                  <c:v>7.6798434166235827</c:v>
                </c:pt>
                <c:pt idx="29">
                  <c:v>7.9050336342567364</c:v>
                </c:pt>
                <c:pt idx="30">
                  <c:v>8.1302240013857006</c:v>
                </c:pt>
                <c:pt idx="31">
                  <c:v>8.3554146183559563</c:v>
                </c:pt>
                <c:pt idx="32">
                  <c:v>8.5806056541966989</c:v>
                </c:pt>
                <c:pt idx="33">
                  <c:v>8.8057973930797129</c:v>
                </c:pt>
                <c:pt idx="34">
                  <c:v>9.0309903124075408</c:v>
                </c:pt>
                <c:pt idx="35">
                  <c:v>9.2561852139633451</c:v>
                </c:pt>
                <c:pt idx="36">
                  <c:v>9.4813834440142948</c:v>
                </c:pt>
                <c:pt idx="37">
                  <c:v>9.7065872625598999</c:v>
                </c:pt>
                <c:pt idx="38">
                  <c:v>9.9318004621133511</c:v>
                </c:pt>
                <c:pt idx="39">
                  <c:v>10.157029403192565</c:v>
                </c:pt>
                <c:pt idx="40">
                  <c:v>10.38228474269382</c:v>
                </c:pt>
                <c:pt idx="41">
                  <c:v>10.607584306646606</c:v>
                </c:pt>
                <c:pt idx="42">
                  <c:v>10.832957830787768</c:v>
                </c:pt>
                <c:pt idx="43">
                  <c:v>11.058454687920037</c:v>
                </c:pt>
                <c:pt idx="44">
                  <c:v>11.284156219807242</c:v>
                </c:pt>
                <c:pt idx="45">
                  <c:v>11.510194694607463</c:v>
                </c:pt>
                <c:pt idx="46">
                  <c:v>11.736780505153671</c:v>
                </c:pt>
                <c:pt idx="47">
                  <c:v>11.964236064627583</c:v>
                </c:pt>
                <c:pt idx="48">
                  <c:v>12.193024702356251</c:v>
                </c:pt>
                <c:pt idx="49">
                  <c:v>12.423738905573176</c:v>
                </c:pt>
                <c:pt idx="50">
                  <c:v>12.656969396779232</c:v>
                </c:pt>
              </c:numCache>
            </c:numRef>
          </c:yVal>
          <c:smooth val="1"/>
        </c:ser>
        <c:ser>
          <c:idx val="4"/>
          <c:order val="4"/>
          <c:tx>
            <c:v>ret_3</c:v>
          </c:tx>
          <c:spPr>
            <a:ln w="12700">
              <a:solidFill>
                <a:srgbClr val="800080"/>
              </a:solidFill>
              <a:prstDash val="solid"/>
            </a:ln>
          </c:spPr>
          <c:marker>
            <c:symbol val="star"/>
            <c:size val="5"/>
            <c:spPr>
              <a:noFill/>
              <a:ln>
                <a:solidFill>
                  <a:srgbClr val="800080"/>
                </a:solidFill>
                <a:prstDash val="solid"/>
              </a:ln>
            </c:spPr>
          </c:marker>
          <c:xVal>
            <c:numRef>
              <c:f>Simulation!$BE$41:$BE$201</c:f>
              <c:numCache>
                <c:formatCode>General</c:formatCode>
                <c:ptCount val="161"/>
              </c:numCache>
            </c:numRef>
          </c:xVal>
          <c:yVal>
            <c:numRef>
              <c:f>Simulation!$BF$41:$BF$201</c:f>
              <c:numCache>
                <c:formatCode>General</c:formatCode>
                <c:ptCount val="161"/>
              </c:numCache>
            </c:numRef>
          </c:yVal>
          <c:smooth val="1"/>
        </c:ser>
        <c:ser>
          <c:idx val="5"/>
          <c:order val="5"/>
          <c:tx>
            <c:v>ret_4</c:v>
          </c:tx>
          <c:spPr>
            <a:ln w="12700">
              <a:solidFill>
                <a:srgbClr val="800000"/>
              </a:solidFill>
              <a:prstDash val="solid"/>
            </a:ln>
          </c:spPr>
          <c:marker>
            <c:symbol val="circle"/>
            <c:size val="5"/>
            <c:spPr>
              <a:solidFill>
                <a:srgbClr val="800000"/>
              </a:solidFill>
              <a:ln>
                <a:solidFill>
                  <a:srgbClr val="800000"/>
                </a:solidFill>
                <a:prstDash val="solid"/>
              </a:ln>
            </c:spPr>
          </c:marker>
          <c:xVal>
            <c:numRef>
              <c:f>Simulation!$BG$41:$BG$201</c:f>
              <c:numCache>
                <c:formatCode>General</c:formatCode>
                <c:ptCount val="161"/>
              </c:numCache>
            </c:numRef>
          </c:xVal>
          <c:yVal>
            <c:numRef>
              <c:f>Simulation!$BH$41:$BH$201</c:f>
              <c:numCache>
                <c:formatCode>General</c:formatCode>
                <c:ptCount val="161"/>
              </c:numCache>
            </c:numRef>
          </c:yVal>
          <c:smooth val="1"/>
        </c:ser>
        <c:ser>
          <c:idx val="6"/>
          <c:order val="6"/>
          <c:tx>
            <c:v>ret_5</c:v>
          </c:tx>
          <c:spPr>
            <a:ln w="12700">
              <a:solidFill>
                <a:srgbClr val="008080"/>
              </a:solidFill>
              <a:prstDash val="solid"/>
            </a:ln>
          </c:spPr>
          <c:marker>
            <c:symbol val="plus"/>
            <c:size val="5"/>
            <c:spPr>
              <a:noFill/>
              <a:ln>
                <a:solidFill>
                  <a:srgbClr val="008080"/>
                </a:solidFill>
                <a:prstDash val="solid"/>
              </a:ln>
            </c:spPr>
          </c:marker>
          <c:xVal>
            <c:numRef>
              <c:f>Simulation!$BI$41:$BI$201</c:f>
              <c:numCache>
                <c:formatCode>General</c:formatCode>
                <c:ptCount val="161"/>
              </c:numCache>
            </c:numRef>
          </c:xVal>
          <c:yVal>
            <c:numRef>
              <c:f>Simulation!$BJ$41:$BJ$201</c:f>
              <c:numCache>
                <c:formatCode>General</c:formatCode>
                <c:ptCount val="161"/>
              </c:numCache>
            </c:numRef>
          </c:yVal>
          <c:smooth val="1"/>
        </c:ser>
        <c:ser>
          <c:idx val="7"/>
          <c:order val="7"/>
          <c:tx>
            <c:v>ret_6</c:v>
          </c:tx>
          <c:spPr>
            <a:ln w="12700">
              <a:solidFill>
                <a:srgbClr val="008000"/>
              </a:solidFill>
              <a:prstDash val="solid"/>
            </a:ln>
          </c:spPr>
          <c:marker>
            <c:symbol val="triangle"/>
            <c:size val="5"/>
            <c:spPr>
              <a:solidFill>
                <a:srgbClr val="008000"/>
              </a:solidFill>
              <a:ln>
                <a:solidFill>
                  <a:srgbClr val="008000"/>
                </a:solidFill>
                <a:prstDash val="solid"/>
              </a:ln>
            </c:spPr>
          </c:marker>
          <c:xVal>
            <c:numRef>
              <c:f>Simulation!$BK$41:$BK$201</c:f>
              <c:numCache>
                <c:formatCode>General</c:formatCode>
                <c:ptCount val="161"/>
              </c:numCache>
            </c:numRef>
          </c:xVal>
          <c:yVal>
            <c:numRef>
              <c:f>Simulation!$BL$41:$BL$201</c:f>
              <c:numCache>
                <c:formatCode>General</c:formatCode>
                <c:ptCount val="161"/>
              </c:numCache>
            </c:numRef>
          </c:yVal>
          <c:smooth val="1"/>
        </c:ser>
        <c:ser>
          <c:idx val="8"/>
          <c:order val="8"/>
          <c:tx>
            <c:v>ret_7</c:v>
          </c:tx>
          <c:spPr>
            <a:ln w="12700">
              <a:solidFill>
                <a:srgbClr val="00CCFF"/>
              </a:solidFill>
              <a:prstDash val="solid"/>
            </a:ln>
          </c:spPr>
          <c:marker>
            <c:symbol val="dash"/>
            <c:size val="5"/>
            <c:spPr>
              <a:noFill/>
              <a:ln>
                <a:solidFill>
                  <a:srgbClr val="00CCFF"/>
                </a:solidFill>
                <a:prstDash val="solid"/>
              </a:ln>
            </c:spPr>
          </c:marker>
          <c:xVal>
            <c:numRef>
              <c:f>Simulation!$BM$41:$BM$201</c:f>
              <c:numCache>
                <c:formatCode>General</c:formatCode>
                <c:ptCount val="161"/>
              </c:numCache>
            </c:numRef>
          </c:xVal>
          <c:yVal>
            <c:numRef>
              <c:f>Simulation!$BN$41:$BN$201</c:f>
              <c:numCache>
                <c:formatCode>General</c:formatCode>
                <c:ptCount val="161"/>
              </c:numCache>
            </c:numRef>
          </c:yVal>
          <c:smooth val="1"/>
        </c:ser>
        <c:ser>
          <c:idx val="9"/>
          <c:order val="9"/>
          <c:tx>
            <c:v>ret_8</c:v>
          </c:tx>
          <c:spPr>
            <a:ln w="12700">
              <a:solidFill>
                <a:srgbClr val="FF6600"/>
              </a:solidFill>
              <a:prstDash val="solid"/>
            </a:ln>
          </c:spPr>
          <c:marker>
            <c:symbol val="diamond"/>
            <c:size val="5"/>
            <c:spPr>
              <a:solidFill>
                <a:srgbClr val="F1F4F5"/>
              </a:solidFill>
              <a:ln>
                <a:solidFill>
                  <a:srgbClr val="FF6600"/>
                </a:solidFill>
                <a:prstDash val="solid"/>
              </a:ln>
            </c:spPr>
          </c:marker>
          <c:xVal>
            <c:numRef>
              <c:f>Simulation!$BO$41:$BO$201</c:f>
              <c:numCache>
                <c:formatCode>General</c:formatCode>
                <c:ptCount val="161"/>
              </c:numCache>
            </c:numRef>
          </c:xVal>
          <c:yVal>
            <c:numRef>
              <c:f>Simulation!$BP$41:$BP$201</c:f>
              <c:numCache>
                <c:formatCode>General</c:formatCode>
                <c:ptCount val="161"/>
              </c:numCache>
            </c:numRef>
          </c:yVal>
          <c:smooth val="1"/>
        </c:ser>
        <c:ser>
          <c:idx val="10"/>
          <c:order val="10"/>
          <c:tx>
            <c:v>ret_9</c:v>
          </c:tx>
          <c:spPr>
            <a:ln w="12700">
              <a:solidFill>
                <a:srgbClr val="FF00FF"/>
              </a:solidFill>
              <a:prstDash val="solid"/>
            </a:ln>
          </c:spPr>
          <c:marker>
            <c:symbol val="square"/>
            <c:size val="5"/>
            <c:spPr>
              <a:solidFill>
                <a:srgbClr val="CCFFCC"/>
              </a:solidFill>
              <a:ln>
                <a:solidFill>
                  <a:srgbClr val="FF00FF"/>
                </a:solidFill>
                <a:prstDash val="solid"/>
              </a:ln>
            </c:spPr>
          </c:marker>
          <c:xVal>
            <c:numRef>
              <c:f>Simulation!$BQ$41:$BQ$201</c:f>
              <c:numCache>
                <c:formatCode>General</c:formatCode>
                <c:ptCount val="161"/>
              </c:numCache>
            </c:numRef>
          </c:xVal>
          <c:yVal>
            <c:numRef>
              <c:f>Simulation!$BR$41:$BR$201</c:f>
              <c:numCache>
                <c:formatCode>General</c:formatCode>
                <c:ptCount val="161"/>
              </c:numCache>
            </c:numRef>
          </c:yVal>
          <c:smooth val="1"/>
        </c:ser>
        <c:ser>
          <c:idx val="11"/>
          <c:order val="11"/>
          <c:tx>
            <c:v>ret_10</c:v>
          </c:tx>
          <c:spPr>
            <a:ln w="12700">
              <a:solidFill>
                <a:srgbClr val="FFFF99"/>
              </a:solidFill>
              <a:prstDash val="solid"/>
            </a:ln>
          </c:spPr>
          <c:marker>
            <c:symbol val="triangle"/>
            <c:size val="5"/>
            <c:spPr>
              <a:solidFill>
                <a:srgbClr val="FFFF99"/>
              </a:solidFill>
              <a:ln>
                <a:solidFill>
                  <a:srgbClr val="FFFF99"/>
                </a:solidFill>
                <a:prstDash val="solid"/>
              </a:ln>
            </c:spPr>
          </c:marker>
          <c:xVal>
            <c:numRef>
              <c:f>Simulation!$BS$41:$BS$201</c:f>
              <c:numCache>
                <c:formatCode>General</c:formatCode>
                <c:ptCount val="161"/>
              </c:numCache>
            </c:numRef>
          </c:xVal>
          <c:yVal>
            <c:numRef>
              <c:f>Simulation!$BT$41:$BT$201</c:f>
              <c:numCache>
                <c:formatCode>General</c:formatCode>
                <c:ptCount val="161"/>
              </c:numCache>
            </c:numRef>
          </c:yVal>
          <c:smooth val="1"/>
        </c:ser>
        <c:ser>
          <c:idx val="12"/>
          <c:order val="12"/>
          <c:tx>
            <c:v>ret_11</c:v>
          </c:tx>
          <c:spPr>
            <a:ln w="12700">
              <a:solidFill>
                <a:srgbClr val="C6DDF4"/>
              </a:solidFill>
              <a:prstDash val="solid"/>
            </a:ln>
          </c:spPr>
          <c:marker>
            <c:symbol val="x"/>
            <c:size val="5"/>
            <c:spPr>
              <a:noFill/>
              <a:ln>
                <a:solidFill>
                  <a:srgbClr val="C6DDF4"/>
                </a:solidFill>
                <a:prstDash val="solid"/>
              </a:ln>
            </c:spPr>
          </c:marker>
          <c:xVal>
            <c:numRef>
              <c:f>Simulation!$BU$41:$BU$201</c:f>
              <c:numCache>
                <c:formatCode>General</c:formatCode>
                <c:ptCount val="161"/>
              </c:numCache>
            </c:numRef>
          </c:xVal>
          <c:yVal>
            <c:numRef>
              <c:f>Simulation!$BV$41:$BV$201</c:f>
              <c:numCache>
                <c:formatCode>General</c:formatCode>
                <c:ptCount val="161"/>
              </c:numCache>
            </c:numRef>
          </c:yVal>
          <c:smooth val="1"/>
        </c:ser>
        <c:ser>
          <c:idx val="13"/>
          <c:order val="13"/>
          <c:tx>
            <c:v>ret_12</c:v>
          </c:tx>
          <c:spPr>
            <a:ln w="12700">
              <a:solidFill>
                <a:srgbClr val="FF99CC"/>
              </a:solidFill>
              <a:prstDash val="solid"/>
            </a:ln>
          </c:spPr>
          <c:marker>
            <c:symbol val="star"/>
            <c:size val="5"/>
            <c:spPr>
              <a:noFill/>
              <a:ln>
                <a:solidFill>
                  <a:srgbClr val="FF99CC"/>
                </a:solidFill>
                <a:prstDash val="solid"/>
              </a:ln>
            </c:spPr>
          </c:marker>
          <c:xVal>
            <c:numRef>
              <c:f>Simulation!$BW$41:$BW$201</c:f>
              <c:numCache>
                <c:formatCode>General</c:formatCode>
                <c:ptCount val="161"/>
              </c:numCache>
            </c:numRef>
          </c:xVal>
          <c:yVal>
            <c:numRef>
              <c:f>Simulation!$BX$41:$BX$201</c:f>
              <c:numCache>
                <c:formatCode>General</c:formatCode>
                <c:ptCount val="161"/>
              </c:numCache>
            </c:numRef>
          </c:yVal>
          <c:smooth val="1"/>
        </c:ser>
        <c:ser>
          <c:idx val="14"/>
          <c:order val="14"/>
          <c:tx>
            <c:v>ret_13</c:v>
          </c:tx>
          <c:spPr>
            <a:ln w="12700">
              <a:solidFill>
                <a:srgbClr val="CC99FF"/>
              </a:solidFill>
              <a:prstDash val="solid"/>
            </a:ln>
          </c:spPr>
          <c:marker>
            <c:symbol val="circle"/>
            <c:size val="5"/>
            <c:spPr>
              <a:solidFill>
                <a:srgbClr val="CC99FF"/>
              </a:solidFill>
              <a:ln>
                <a:solidFill>
                  <a:srgbClr val="CC99FF"/>
                </a:solidFill>
                <a:prstDash val="solid"/>
              </a:ln>
            </c:spPr>
          </c:marker>
          <c:xVal>
            <c:numRef>
              <c:f>Simulation!$BY$41:$BY$201</c:f>
              <c:numCache>
                <c:formatCode>General</c:formatCode>
                <c:ptCount val="161"/>
              </c:numCache>
            </c:numRef>
          </c:xVal>
          <c:yVal>
            <c:numRef>
              <c:f>Simulation!$BZ$41:$BZ$201</c:f>
              <c:numCache>
                <c:formatCode>General</c:formatCode>
                <c:ptCount val="161"/>
              </c:numCache>
            </c:numRef>
          </c:yVal>
          <c:smooth val="1"/>
        </c:ser>
        <c:ser>
          <c:idx val="15"/>
          <c:order val="15"/>
          <c:xVal>
            <c:numRef>
              <c:f>Simulation!$AY$41:$AY$201</c:f>
              <c:numCache>
                <c:formatCode>General</c:formatCode>
                <c:ptCount val="161"/>
              </c:numCache>
            </c:numRef>
          </c:xVal>
          <c:yVal>
            <c:numRef>
              <c:f>Simulation!$AZ$41:$AZ$201</c:f>
              <c:numCache>
                <c:formatCode>General</c:formatCode>
                <c:ptCount val="161"/>
              </c:numCache>
            </c:numRef>
          </c:yVal>
          <c:smooth val="1"/>
        </c:ser>
        <c:axId val="263121920"/>
        <c:axId val="263271552"/>
      </c:scatterChart>
      <c:valAx>
        <c:axId val="263121920"/>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91007645795"/>
              <c:y val="0.927947459482362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3271552"/>
        <c:crosses val="autoZero"/>
        <c:crossBetween val="midCat"/>
      </c:valAx>
      <c:valAx>
        <c:axId val="263271552"/>
        <c:scaling>
          <c:orientation val="minMax"/>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55620221389E-2"/>
              <c:y val="0.426506126196108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3121920"/>
        <c:crosses val="autoZero"/>
        <c:crossBetween val="midCat"/>
      </c:valAx>
      <c:spPr>
        <a:noFill/>
        <a:ln w="12700">
          <a:solidFill>
            <a:srgbClr val="F9FCDE"/>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009174311926605"/>
          <c:y val="1.5306178330762104E-2"/>
        </c:manualLayout>
      </c:layout>
      <c:spPr>
        <a:noFill/>
        <a:ln w="25400">
          <a:noFill/>
        </a:ln>
      </c:spPr>
    </c:title>
    <c:plotArea>
      <c:layout>
        <c:manualLayout>
          <c:layoutTarget val="inner"/>
          <c:xMode val="edge"/>
          <c:yMode val="edge"/>
          <c:x val="0.10536082054632871"/>
          <c:y val="8.3678298673743295E-2"/>
          <c:w val="0.86270886220066623"/>
          <c:h val="0.77382273571272808"/>
        </c:manualLayout>
      </c:layout>
      <c:scatterChart>
        <c:scatterStyle val="smoothMarker"/>
        <c:ser>
          <c:idx val="1"/>
          <c:order val="0"/>
          <c:tx>
            <c:v>alfa 0</c:v>
          </c:tx>
          <c:spPr>
            <a:ln w="25400">
              <a:solidFill>
                <a:srgbClr val="FF0000"/>
              </a:solidFill>
              <a:prstDash val="dash"/>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Distribution!$Q$12:$Q$114</c:f>
              <c:numCache>
                <c:formatCode>0.000</c:formatCode>
                <c:ptCount val="103"/>
                <c:pt idx="0">
                  <c:v>2.6796325201721075E-17</c:v>
                </c:pt>
                <c:pt idx="1">
                  <c:v>6.7309324095687109E-17</c:v>
                </c:pt>
                <c:pt idx="2">
                  <c:v>1.6907337156885027E-16</c:v>
                </c:pt>
                <c:pt idx="3">
                  <c:v>4.2469308272865438E-16</c:v>
                </c:pt>
                <c:pt idx="4">
                  <c:v>1.0667806915610644E-15</c:v>
                </c:pt>
                <c:pt idx="5">
                  <c:v>2.6796315444269803E-15</c:v>
                </c:pt>
                <c:pt idx="6">
                  <c:v>6.7309285250583877E-15</c:v>
                </c:pt>
                <c:pt idx="7">
                  <c:v>1.6907321692377158E-14</c:v>
                </c:pt>
                <c:pt idx="8">
                  <c:v>4.2469246707590332E-14</c:v>
                </c:pt>
                <c:pt idx="9">
                  <c:v>1.0667782406058155E-13</c:v>
                </c:pt>
                <c:pt idx="10">
                  <c:v>2.6796217870141513E-13</c:v>
                </c:pt>
                <c:pt idx="11">
                  <c:v>6.7308896801977221E-13</c:v>
                </c:pt>
                <c:pt idx="12">
                  <c:v>1.6907167048829027E-12</c:v>
                </c:pt>
                <c:pt idx="13">
                  <c:v>4.2468631064496025E-12</c:v>
                </c:pt>
                <c:pt idx="14">
                  <c:v>1.0667537316626082E-11</c:v>
                </c:pt>
                <c:pt idx="15">
                  <c:v>2.6795242167300782E-11</c:v>
                </c:pt>
                <c:pt idx="16">
                  <c:v>6.7305012558456412E-11</c:v>
                </c:pt>
                <c:pt idx="17">
                  <c:v>1.6905620766377056E-10</c:v>
                </c:pt>
                <c:pt idx="18">
                  <c:v>4.2462475599039225E-10</c:v>
                </c:pt>
                <c:pt idx="19">
                  <c:v>1.0665087031423333E-9</c:v>
                </c:pt>
                <c:pt idx="20">
                  <c:v>2.678548898154214E-9</c:v>
                </c:pt>
                <c:pt idx="21">
                  <c:v>6.7266194362466465E-9</c:v>
                </c:pt>
                <c:pt idx="22">
                  <c:v>1.6890173229515816E-8</c:v>
                </c:pt>
                <c:pt idx="23">
                  <c:v>4.2401017340586362E-8</c:v>
                </c:pt>
                <c:pt idx="24">
                  <c:v>1.0640644938837019E-7</c:v>
                </c:pt>
                <c:pt idx="25">
                  <c:v>2.6688339867655185E-7</c:v>
                </c:pt>
                <c:pt idx="26">
                  <c:v>6.6880421151168475E-7</c:v>
                </c:pt>
                <c:pt idx="27">
                  <c:v>1.6737211514945602E-6</c:v>
                </c:pt>
                <c:pt idx="28">
                  <c:v>4.179592421591285E-6</c:v>
                </c:pt>
                <c:pt idx="29">
                  <c:v>1.0402151314920563E-5</c:v>
                </c:pt>
                <c:pt idx="30">
                  <c:v>2.5753660045558851E-5</c:v>
                </c:pt>
                <c:pt idx="31">
                  <c:v>6.3249290375321312E-5</c:v>
                </c:pt>
                <c:pt idx="32">
                  <c:v>1.5345220790099809E-4</c:v>
                </c:pt>
                <c:pt idx="33">
                  <c:v>3.6564315798695861E-4</c:v>
                </c:pt>
                <c:pt idx="34">
                  <c:v>8.4911265764617597E-4</c:v>
                </c:pt>
                <c:pt idx="35">
                  <c:v>1.9041312740060256E-3</c:v>
                </c:pt>
                <c:pt idx="36">
                  <c:v>4.0843825024637409E-3</c:v>
                </c:pt>
                <c:pt idx="37">
                  <c:v>8.3156297417637907E-3</c:v>
                </c:pt>
                <c:pt idx="38">
                  <c:v>1.6006919786710573E-2</c:v>
                </c:pt>
                <c:pt idx="39">
                  <c:v>2.9151082998459268E-2</c:v>
                </c:pt>
                <c:pt idx="40">
                  <c:v>5.0426878813177402E-2</c:v>
                </c:pt>
                <c:pt idx="41">
                  <c:v>8.3247300072993871E-2</c:v>
                </c:pt>
                <c:pt idx="42">
                  <c:v>0.13153714547588519</c:v>
                </c:pt>
                <c:pt idx="43">
                  <c:v>0.19888144984365386</c:v>
                </c:pt>
                <c:pt idx="44">
                  <c:v>0.2868004658486133</c:v>
                </c:pt>
                <c:pt idx="45">
                  <c:v>0.39258756085473651</c:v>
                </c:pt>
                <c:pt idx="46">
                  <c:v>0.50825168883341554</c:v>
                </c:pt>
                <c:pt idx="47">
                  <c:v>0.62227358511736119</c:v>
                </c:pt>
                <c:pt idx="48">
                  <c:v>0.72378784315080236</c:v>
                </c:pt>
                <c:pt idx="49">
                  <c:v>0.80629693879722775</c:v>
                </c:pt>
                <c:pt idx="50">
                  <c:v>0.86853688750653046</c:v>
                </c:pt>
                <c:pt idx="51">
                  <c:v>0.9128953573166777</c:v>
                </c:pt>
                <c:pt idx="52">
                  <c:v>0.94324610165684075</c:v>
                </c:pt>
                <c:pt idx="53">
                  <c:v>0.96343743798130266</c:v>
                </c:pt>
                <c:pt idx="54">
                  <c:v>0.97662027577497967</c:v>
                </c:pt>
                <c:pt idx="55">
                  <c:v>0.98512212323848569</c:v>
                </c:pt>
                <c:pt idx="56">
                  <c:v>0.99056172079880656</c:v>
                </c:pt>
                <c:pt idx="57">
                  <c:v>0.99402437518254338</c:v>
                </c:pt>
                <c:pt idx="58">
                  <c:v>0.99622143930421547</c:v>
                </c:pt>
                <c:pt idx="59">
                  <c:v>0.99761261477822405</c:v>
                </c:pt>
                <c:pt idx="60">
                  <c:v>0.99849235519673829</c:v>
                </c:pt>
                <c:pt idx="61">
                  <c:v>0.9990482195501903</c:v>
                </c:pt>
                <c:pt idx="62">
                  <c:v>0.99939925958027409</c:v>
                </c:pt>
                <c:pt idx="63">
                  <c:v>0.99962087574450464</c:v>
                </c:pt>
                <c:pt idx="64">
                  <c:v>0.99976075584109103</c:v>
                </c:pt>
                <c:pt idx="65">
                  <c:v>0.99984903403001901</c:v>
                </c:pt>
                <c:pt idx="66">
                  <c:v>0.99990474169223398</c:v>
                </c:pt>
                <c:pt idx="67">
                  <c:v>0.99993989399269156</c:v>
                </c:pt>
                <c:pt idx="68">
                  <c:v>0.99996207484576849</c:v>
                </c:pt>
                <c:pt idx="69">
                  <c:v>0.99997607051596238</c:v>
                </c:pt>
                <c:pt idx="70">
                  <c:v>0.99998490138514362</c:v>
                </c:pt>
              </c:numCache>
            </c:numRef>
          </c:yVal>
          <c:smooth val="1"/>
        </c:ser>
        <c:ser>
          <c:idx val="0"/>
          <c:order val="1"/>
          <c:tx>
            <c:v>alfa 1</c:v>
          </c:tx>
          <c:spPr>
            <a:ln w="25400">
              <a:solidFill>
                <a:srgbClr val="000000"/>
              </a:solidFill>
              <a:prstDash val="dash"/>
            </a:ln>
          </c:spPr>
          <c:marker>
            <c:symbol val="square"/>
            <c:size val="6"/>
            <c:spPr>
              <a:noFill/>
              <a:ln w="9525">
                <a:noFill/>
              </a:ln>
            </c:spPr>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Distribution!$R$12:$R$114</c:f>
              <c:numCache>
                <c:formatCode>0.000</c:formatCode>
                <c:ptCount val="103"/>
                <c:pt idx="0">
                  <c:v>4.0459340258652391E-8</c:v>
                </c:pt>
                <c:pt idx="1">
                  <c:v>6.4123731429956865E-8</c:v>
                </c:pt>
                <c:pt idx="2">
                  <c:v>1.0162926160688368E-7</c:v>
                </c:pt>
                <c:pt idx="3">
                  <c:v>1.6107151530114408E-7</c:v>
                </c:pt>
                <c:pt idx="4">
                  <c:v>2.5528112405023821E-7</c:v>
                </c:pt>
                <c:pt idx="5">
                  <c:v>4.0459325526033717E-7</c:v>
                </c:pt>
                <c:pt idx="6">
                  <c:v>6.4123694423301407E-7</c:v>
                </c:pt>
                <c:pt idx="7">
                  <c:v>1.0162916865040564E-6</c:v>
                </c:pt>
                <c:pt idx="8">
                  <c:v>1.6107128180517836E-6</c:v>
                </c:pt>
                <c:pt idx="9">
                  <c:v>2.5528053753548798E-6</c:v>
                </c:pt>
                <c:pt idx="10">
                  <c:v>4.0459178200427442E-6</c:v>
                </c:pt>
                <c:pt idx="11">
                  <c:v>6.4123324359057556E-6</c:v>
                </c:pt>
                <c:pt idx="12">
                  <c:v>1.0162823909482496E-5</c:v>
                </c:pt>
                <c:pt idx="13">
                  <c:v>1.6106894688214521E-5</c:v>
                </c:pt>
                <c:pt idx="14">
                  <c:v>2.5527467253378609E-5</c:v>
                </c:pt>
                <c:pt idx="15">
                  <c:v>4.0457705002407584E-5</c:v>
                </c:pt>
                <c:pt idx="16">
                  <c:v>6.4119623947685254E-5</c:v>
                </c:pt>
                <c:pt idx="17">
                  <c:v>1.0161894445887047E-4</c:v>
                </c:pt>
                <c:pt idx="18">
                  <c:v>1.6104560131357241E-4</c:v>
                </c:pt>
                <c:pt idx="19">
                  <c:v>2.5521603709299166E-4</c:v>
                </c:pt>
                <c:pt idx="20">
                  <c:v>4.0442978824163184E-4</c:v>
                </c:pt>
                <c:pt idx="21">
                  <c:v>6.4082642925996193E-4</c:v>
                </c:pt>
                <c:pt idx="22">
                  <c:v>1.0152608999277168E-3</c:v>
                </c:pt>
                <c:pt idx="23">
                  <c:v>1.6081251122523907E-3</c:v>
                </c:pt>
                <c:pt idx="24">
                  <c:v>2.5463113666135311E-3</c:v>
                </c:pt>
                <c:pt idx="25">
                  <c:v>4.0296294940272686E-3</c:v>
                </c:pt>
                <c:pt idx="26">
                  <c:v>6.3715127457277662E-3</c:v>
                </c:pt>
                <c:pt idx="27">
                  <c:v>1.0060664383979977E-2</c:v>
                </c:pt>
                <c:pt idx="28">
                  <c:v>1.5851760060735756E-2</c:v>
                </c:pt>
                <c:pt idx="29">
                  <c:v>2.4892397296090028E-2</c:v>
                </c:pt>
                <c:pt idx="30">
                  <c:v>3.8885036916255819E-2</c:v>
                </c:pt>
                <c:pt idx="31">
                  <c:v>6.025584959665805E-2</c:v>
                </c:pt>
                <c:pt idx="32">
                  <c:v>9.2239448685588088E-2</c:v>
                </c:pt>
                <c:pt idx="33">
                  <c:v>0.13867590481591083</c:v>
                </c:pt>
                <c:pt idx="34">
                  <c:v>0.20319306058305361</c:v>
                </c:pt>
                <c:pt idx="35">
                  <c:v>0.2875017172399531</c:v>
                </c:pt>
                <c:pt idx="36">
                  <c:v>0.38910782445664116</c:v>
                </c:pt>
                <c:pt idx="37">
                  <c:v>0.49984885414527863</c:v>
                </c:pt>
                <c:pt idx="38">
                  <c:v>0.60708754867962378</c:v>
                </c:pt>
                <c:pt idx="39">
                  <c:v>0.69758679492395181</c:v>
                </c:pt>
                <c:pt idx="40">
                  <c:v>0.76138732931675124</c:v>
                </c:pt>
                <c:pt idx="41">
                  <c:v>0.79307400332247535</c:v>
                </c:pt>
                <c:pt idx="42">
                  <c:v>0.79066400844485718</c:v>
                </c:pt>
                <c:pt idx="43">
                  <c:v>0.75428910416403039</c:v>
                </c:pt>
                <c:pt idx="44">
                  <c:v>0.68631487126775492</c:v>
                </c:pt>
                <c:pt idx="45">
                  <c:v>0.59276164124609143</c:v>
                </c:pt>
                <c:pt idx="46">
                  <c:v>0.48419732676626731</c:v>
                </c:pt>
                <c:pt idx="47">
                  <c:v>0.37404592092843403</c:v>
                </c:pt>
                <c:pt idx="48">
                  <c:v>0.27450789615835025</c:v>
                </c:pt>
                <c:pt idx="49">
                  <c:v>0.19294723881177553</c:v>
                </c:pt>
                <c:pt idx="50">
                  <c:v>0.13113898713455269</c:v>
                </c:pt>
                <c:pt idx="51">
                  <c:v>8.6969015812744743E-2</c:v>
                </c:pt>
                <c:pt idx="52">
                  <c:v>5.6698109190967773E-2</c:v>
                </c:pt>
                <c:pt idx="53">
                  <c:v>3.6539876523642802E-2</c:v>
                </c:pt>
                <c:pt idx="54">
                  <c:v>2.3370569390908681E-2</c:v>
                </c:pt>
                <c:pt idx="55">
                  <c:v>1.4874200428748593E-2</c:v>
                </c:pt>
                <c:pt idx="56">
                  <c:v>9.4368075452669307E-3</c:v>
                </c:pt>
                <c:pt idx="57">
                  <c:v>5.9750368926610956E-3</c:v>
                </c:pt>
                <c:pt idx="58">
                  <c:v>3.7783261213779496E-3</c:v>
                </c:pt>
                <c:pt idx="59">
                  <c:v>2.3872917056139862E-3</c:v>
                </c:pt>
                <c:pt idx="60">
                  <c:v>1.5076075409763397E-3</c:v>
                </c:pt>
                <c:pt idx="61">
                  <c:v>9.5176560716822795E-4</c:v>
                </c:pt>
                <c:pt idx="62">
                  <c:v>6.0073450868785476E-4</c:v>
                </c:pt>
                <c:pt idx="63">
                  <c:v>3.791219017468713E-4</c:v>
                </c:pt>
                <c:pt idx="64">
                  <c:v>2.3924322173375978E-4</c:v>
                </c:pt>
                <c:pt idx="65">
                  <c:v>1.5096559685172256E-4</c:v>
                </c:pt>
                <c:pt idx="66">
                  <c:v>9.525815921233383E-5</c:v>
                </c:pt>
                <c:pt idx="67">
                  <c:v>6.0105948166038293E-5</c:v>
                </c:pt>
                <c:pt idx="68">
                  <c:v>3.7925130685963692E-5</c:v>
                </c:pt>
                <c:pt idx="69">
                  <c:v>2.3929474663729675E-5</c:v>
                </c:pt>
                <c:pt idx="70">
                  <c:v>1.5098611124505813E-5</c:v>
                </c:pt>
              </c:numCache>
            </c:numRef>
          </c:yVal>
          <c:smooth val="1"/>
        </c:ser>
        <c:ser>
          <c:idx val="2"/>
          <c:order val="2"/>
          <c:tx>
            <c:v>alfa 2</c:v>
          </c:tx>
          <c:spPr>
            <a:ln w="25400">
              <a:solidFill>
                <a:srgbClr val="008000"/>
              </a:solidFill>
              <a:prstDash val="dash"/>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Distribution!$S$12:$S$114</c:f>
              <c:numCache>
                <c:formatCode>0.000</c:formatCode>
                <c:ptCount val="103"/>
                <c:pt idx="0">
                  <c:v>0.99999995954065968</c:v>
                </c:pt>
                <c:pt idx="1">
                  <c:v>0.99999993587626845</c:v>
                </c:pt>
                <c:pt idx="2">
                  <c:v>0.99999989837073822</c:v>
                </c:pt>
                <c:pt idx="3">
                  <c:v>0.99999983892848432</c:v>
                </c:pt>
                <c:pt idx="4">
                  <c:v>0.99999974471887487</c:v>
                </c:pt>
                <c:pt idx="5">
                  <c:v>0.9999995954067421</c:v>
                </c:pt>
                <c:pt idx="6">
                  <c:v>0.99999935876304902</c:v>
                </c:pt>
                <c:pt idx="7">
                  <c:v>0.99999898370829665</c:v>
                </c:pt>
                <c:pt idx="8">
                  <c:v>0.99999838928713936</c:v>
                </c:pt>
                <c:pt idx="9">
                  <c:v>0.999997447194518</c:v>
                </c:pt>
                <c:pt idx="10">
                  <c:v>0.999995954081912</c:v>
                </c:pt>
                <c:pt idx="11">
                  <c:v>0.99999358766689095</c:v>
                </c:pt>
                <c:pt idx="12">
                  <c:v>0.99998983717439971</c:v>
                </c:pt>
                <c:pt idx="13">
                  <c:v>0.99998389310106495</c:v>
                </c:pt>
                <c:pt idx="14">
                  <c:v>0.99997447252207916</c:v>
                </c:pt>
                <c:pt idx="15">
                  <c:v>0.99995954226820238</c:v>
                </c:pt>
                <c:pt idx="16">
                  <c:v>0.99993588030874725</c:v>
                </c:pt>
                <c:pt idx="17">
                  <c:v>0.99989838088648497</c:v>
                </c:pt>
                <c:pt idx="18">
                  <c:v>0.99983895397406164</c:v>
                </c:pt>
                <c:pt idx="19">
                  <c:v>0.99974478289639823</c:v>
                </c:pt>
                <c:pt idx="20">
                  <c:v>0.99959556753320944</c:v>
                </c:pt>
                <c:pt idx="21">
                  <c:v>0.99935916684412063</c:v>
                </c:pt>
                <c:pt idx="22">
                  <c:v>0.99898472220989909</c:v>
                </c:pt>
                <c:pt idx="23">
                  <c:v>0.99839183248673025</c:v>
                </c:pt>
                <c:pt idx="24">
                  <c:v>0.99745358222693703</c:v>
                </c:pt>
                <c:pt idx="25">
                  <c:v>0.9959701036225741</c:v>
                </c:pt>
                <c:pt idx="26">
                  <c:v>0.99362781845006076</c:v>
                </c:pt>
                <c:pt idx="27">
                  <c:v>0.98993766189486843</c:v>
                </c:pt>
                <c:pt idx="28">
                  <c:v>0.98414406034684265</c:v>
                </c:pt>
                <c:pt idx="29">
                  <c:v>0.97509720055259508</c:v>
                </c:pt>
                <c:pt idx="30">
                  <c:v>0.96108920942369858</c:v>
                </c:pt>
                <c:pt idx="31">
                  <c:v>0.93968090111296665</c:v>
                </c:pt>
                <c:pt idx="32">
                  <c:v>0.90760709910651094</c:v>
                </c:pt>
                <c:pt idx="33">
                  <c:v>0.86095845202610222</c:v>
                </c:pt>
                <c:pt idx="34">
                  <c:v>0.79595782675930016</c:v>
                </c:pt>
                <c:pt idx="35">
                  <c:v>0.71059415148604077</c:v>
                </c:pt>
                <c:pt idx="36">
                  <c:v>0.60680779304089516</c:v>
                </c:pt>
                <c:pt idx="37">
                  <c:v>0.49183551611295762</c:v>
                </c:pt>
                <c:pt idx="38">
                  <c:v>0.37690553153366557</c:v>
                </c:pt>
                <c:pt idx="39">
                  <c:v>0.27326212207758899</c:v>
                </c:pt>
                <c:pt idx="40">
                  <c:v>0.18818579187007139</c:v>
                </c:pt>
                <c:pt idx="41">
                  <c:v>0.12367869660453087</c:v>
                </c:pt>
                <c:pt idx="42">
                  <c:v>7.7798846079257536E-2</c:v>
                </c:pt>
                <c:pt idx="43">
                  <c:v>4.6829445992315755E-2</c:v>
                </c:pt>
                <c:pt idx="44">
                  <c:v>2.6884662883631682E-2</c:v>
                </c:pt>
                <c:pt idx="45">
                  <c:v>1.4650797899171925E-2</c:v>
                </c:pt>
                <c:pt idx="46">
                  <c:v>7.5509844003171156E-3</c:v>
                </c:pt>
                <c:pt idx="47">
                  <c:v>3.6804939542047126E-3</c:v>
                </c:pt>
                <c:pt idx="48">
                  <c:v>1.7042606908472969E-3</c:v>
                </c:pt>
                <c:pt idx="49">
                  <c:v>7.558223909967485E-4</c:v>
                </c:pt>
                <c:pt idx="50">
                  <c:v>3.241253589168752E-4</c:v>
                </c:pt>
                <c:pt idx="51">
                  <c:v>1.3562687057749447E-4</c:v>
                </c:pt>
                <c:pt idx="52">
                  <c:v>5.5789152191322333E-5</c:v>
                </c:pt>
                <c:pt idx="53">
                  <c:v>2.268549505466188E-5</c:v>
                </c:pt>
                <c:pt idx="54">
                  <c:v>9.1548341115281815E-6</c:v>
                </c:pt>
                <c:pt idx="55">
                  <c:v>3.6763327656504718E-6</c:v>
                </c:pt>
                <c:pt idx="56">
                  <c:v>1.471655926706593E-6</c:v>
                </c:pt>
                <c:pt idx="57">
                  <c:v>5.8792479557067994E-7</c:v>
                </c:pt>
                <c:pt idx="58">
                  <c:v>2.3457440663752656E-7</c:v>
                </c:pt>
                <c:pt idx="59">
                  <c:v>9.3516162037649152E-8</c:v>
                </c:pt>
                <c:pt idx="60">
                  <c:v>3.7262285305237085E-8</c:v>
                </c:pt>
                <c:pt idx="61">
                  <c:v>1.4842641326590855E-8</c:v>
                </c:pt>
                <c:pt idx="62">
                  <c:v>5.9110382003894951E-9</c:v>
                </c:pt>
                <c:pt idx="63">
                  <c:v>2.3537485195462758E-9</c:v>
                </c:pt>
                <c:pt idx="64">
                  <c:v>9.3717528685123771E-10</c:v>
                </c:pt>
                <c:pt idx="65">
                  <c:v>3.7312914589968997E-10</c:v>
                </c:pt>
                <c:pt idx="66">
                  <c:v>1.485536648909462E-10</c:v>
                </c:pt>
                <c:pt idx="67">
                  <c:v>5.9142358320003938E-11</c:v>
                </c:pt>
                <c:pt idx="68">
                  <c:v>2.3545519210147684E-11</c:v>
                </c:pt>
                <c:pt idx="69">
                  <c:v>9.3737712273149464E-12</c:v>
                </c:pt>
                <c:pt idx="70">
                  <c:v>3.7317984962440627E-12</c:v>
                </c:pt>
              </c:numCache>
            </c:numRef>
          </c:yVal>
          <c:smooth val="1"/>
        </c:ser>
        <c:ser>
          <c:idx val="3"/>
          <c:order val="3"/>
          <c:tx>
            <c:v>alfa 3</c:v>
          </c:tx>
          <c:spPr>
            <a:ln w="25400">
              <a:solidFill>
                <a:srgbClr val="99330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Distribution!$T$12:$T$114</c:f>
              <c:numCache>
                <c:formatCode>0.000</c:formatCode>
                <c:ptCount val="103"/>
              </c:numCache>
            </c:numRef>
          </c:yVal>
          <c:smooth val="1"/>
        </c:ser>
        <c:ser>
          <c:idx val="4"/>
          <c:order val="4"/>
          <c:tx>
            <c:v>alfa 4</c:v>
          </c:tx>
          <c:spPr>
            <a:ln w="25400">
              <a:solidFill>
                <a:srgbClr val="00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Distribution!$U$12:$U$114</c:f>
              <c:numCache>
                <c:formatCode>0.000</c:formatCode>
                <c:ptCount val="103"/>
              </c:numCache>
            </c:numRef>
          </c:yVal>
          <c:smooth val="1"/>
        </c:ser>
        <c:ser>
          <c:idx val="5"/>
          <c:order val="5"/>
          <c:tx>
            <c:v>alfa 5</c:v>
          </c:tx>
          <c:spPr>
            <a:ln w="25400">
              <a:solidFill>
                <a:srgbClr val="FF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Distribution!$V$12:$V$114</c:f>
              <c:numCache>
                <c:formatCode>0.000</c:formatCode>
                <c:ptCount val="103"/>
              </c:numCache>
            </c:numRef>
          </c:yVal>
          <c:smooth val="1"/>
        </c:ser>
        <c:ser>
          <c:idx val="6"/>
          <c:order val="6"/>
          <c:tx>
            <c:v>alfa 6</c:v>
          </c:tx>
          <c:spPr>
            <a:ln w="25400">
              <a:solidFill>
                <a:srgbClr val="00808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Distribution!$W$12:$W$114</c:f>
              <c:numCache>
                <c:formatCode>0.000</c:formatCode>
                <c:ptCount val="103"/>
              </c:numCache>
            </c:numRef>
          </c:yVal>
          <c:smooth val="1"/>
        </c:ser>
        <c:axId val="266570752"/>
        <c:axId val="266585216"/>
      </c:scatterChart>
      <c:valAx>
        <c:axId val="266570752"/>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546028076765657"/>
              <c:y val="0.93151703365323613"/>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66585216"/>
        <c:crosses val="autoZero"/>
        <c:crossBetween val="midCat"/>
        <c:majorUnit val="1"/>
      </c:valAx>
      <c:valAx>
        <c:axId val="266585216"/>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Symbol"/>
                  </a:rPr>
                  <a:t>a</a:t>
                </a:r>
                <a:r>
                  <a:rPr lang="pl-PL" sz="1500" b="1" i="0" u="none" strike="noStrike" baseline="-25000">
                    <a:solidFill>
                      <a:srgbClr val="000000"/>
                    </a:solidFill>
                    <a:latin typeface="Arial"/>
                    <a:cs typeface="Arial"/>
                  </a:rPr>
                  <a:t>i</a:t>
                </a:r>
              </a:p>
            </c:rich>
          </c:tx>
          <c:layout>
            <c:manualLayout>
              <c:xMode val="edge"/>
              <c:yMode val="edge"/>
              <c:x val="7.256891053755897E-3"/>
              <c:y val="0.4200006678554495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6657075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B</a:t>
            </a:r>
          </a:p>
        </c:rich>
      </c:tx>
      <c:layout>
        <c:manualLayout>
          <c:xMode val="edge"/>
          <c:yMode val="edge"/>
          <c:x val="8.3203403496131603E-2"/>
          <c:y val="1.2195121951219513E-2"/>
        </c:manualLayout>
      </c:layout>
      <c:spPr>
        <a:noFill/>
        <a:ln w="25400">
          <a:noFill/>
        </a:ln>
      </c:spPr>
    </c:title>
    <c:plotArea>
      <c:layout>
        <c:manualLayout>
          <c:layoutTarget val="inner"/>
          <c:xMode val="edge"/>
          <c:yMode val="edge"/>
          <c:x val="8.6614284231314689E-2"/>
          <c:y val="8.0487804878048699E-2"/>
          <c:w val="0.88976491983078021"/>
          <c:h val="0.78048780487804859"/>
        </c:manualLayout>
      </c:layout>
      <c:scatterChart>
        <c:scatterStyle val="smoothMarker"/>
        <c:ser>
          <c:idx val="0"/>
          <c:order val="0"/>
          <c:tx>
            <c:v>n médio</c:v>
          </c:tx>
          <c:spPr>
            <a:ln w="38100">
              <a:solidFill>
                <a:srgbClr val="09007E"/>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Distribution!$P$12:$P$114</c:f>
              <c:numCache>
                <c:formatCode>0.000</c:formatCode>
                <c:ptCount val="103"/>
                <c:pt idx="0">
                  <c:v>1.9999999595406595</c:v>
                </c:pt>
                <c:pt idx="1">
                  <c:v>1.9999999358762683</c:v>
                </c:pt>
                <c:pt idx="2">
                  <c:v>1.9999998983707383</c:v>
                </c:pt>
                <c:pt idx="3">
                  <c:v>1.9999998389284841</c:v>
                </c:pt>
                <c:pt idx="4">
                  <c:v>1.9999997447188738</c:v>
                </c:pt>
                <c:pt idx="5">
                  <c:v>1.9999995954067395</c:v>
                </c:pt>
                <c:pt idx="6">
                  <c:v>1.999999358763042</c:v>
                </c:pt>
                <c:pt idx="7">
                  <c:v>1.9999989837082797</c:v>
                </c:pt>
                <c:pt idx="8">
                  <c:v>1.9999983892870967</c:v>
                </c:pt>
                <c:pt idx="9">
                  <c:v>1.9999974471944113</c:v>
                </c:pt>
                <c:pt idx="10">
                  <c:v>1.9999959540816439</c:v>
                </c:pt>
                <c:pt idx="11">
                  <c:v>1.9999935876662178</c:v>
                </c:pt>
                <c:pt idx="12">
                  <c:v>1.9999898371727087</c:v>
                </c:pt>
                <c:pt idx="13">
                  <c:v>1.9999838930968181</c:v>
                </c:pt>
                <c:pt idx="14">
                  <c:v>1.9999744725114117</c:v>
                </c:pt>
                <c:pt idx="15">
                  <c:v>1.9999595422414072</c:v>
                </c:pt>
                <c:pt idx="16">
                  <c:v>1.9999358802414422</c:v>
                </c:pt>
                <c:pt idx="17">
                  <c:v>1.9998983807174289</c:v>
                </c:pt>
                <c:pt idx="18">
                  <c:v>1.9998389535494372</c:v>
                </c:pt>
                <c:pt idx="19">
                  <c:v>1.9997447818298895</c:v>
                </c:pt>
                <c:pt idx="20">
                  <c:v>1.9995955648546604</c:v>
                </c:pt>
                <c:pt idx="21">
                  <c:v>1.9993591601175014</c:v>
                </c:pt>
                <c:pt idx="22">
                  <c:v>1.9989847053197256</c:v>
                </c:pt>
                <c:pt idx="23">
                  <c:v>1.9983917900857129</c:v>
                </c:pt>
                <c:pt idx="24">
                  <c:v>1.9974534758204876</c:v>
                </c:pt>
                <c:pt idx="25">
                  <c:v>1.9959698367391756</c:v>
                </c:pt>
                <c:pt idx="26">
                  <c:v>1.9936271496458493</c:v>
                </c:pt>
                <c:pt idx="27">
                  <c:v>1.9899359881737166</c:v>
                </c:pt>
                <c:pt idx="28">
                  <c:v>1.9841398807544208</c:v>
                </c:pt>
                <c:pt idx="29">
                  <c:v>1.9750867984012801</c:v>
                </c:pt>
                <c:pt idx="30">
                  <c:v>1.961063455763653</c:v>
                </c:pt>
                <c:pt idx="31">
                  <c:v>1.9396176518225914</c:v>
                </c:pt>
                <c:pt idx="32">
                  <c:v>1.9074536468986101</c:v>
                </c:pt>
                <c:pt idx="33">
                  <c:v>1.8605928088681152</c:v>
                </c:pt>
                <c:pt idx="34">
                  <c:v>1.795108714101654</c:v>
                </c:pt>
                <c:pt idx="35">
                  <c:v>1.7086900202120345</c:v>
                </c:pt>
                <c:pt idx="36">
                  <c:v>1.6027234105384314</c:v>
                </c:pt>
                <c:pt idx="37">
                  <c:v>1.483519886371194</c:v>
                </c:pt>
                <c:pt idx="38">
                  <c:v>1.360898611746955</c:v>
                </c:pt>
                <c:pt idx="39">
                  <c:v>1.2441110390791297</c:v>
                </c:pt>
                <c:pt idx="40">
                  <c:v>1.1377589130568941</c:v>
                </c:pt>
                <c:pt idx="41">
                  <c:v>1.040431396531537</c:v>
                </c:pt>
                <c:pt idx="42">
                  <c:v>0.94626170060337222</c:v>
                </c:pt>
                <c:pt idx="43">
                  <c:v>0.8479479961486619</c:v>
                </c:pt>
                <c:pt idx="44">
                  <c:v>0.74008419703501827</c:v>
                </c:pt>
                <c:pt idx="45">
                  <c:v>0.62206323704443522</c:v>
                </c:pt>
                <c:pt idx="46">
                  <c:v>0.49929929556690156</c:v>
                </c:pt>
                <c:pt idx="47">
                  <c:v>0.38140690883684342</c:v>
                </c:pt>
                <c:pt idx="48">
                  <c:v>0.27791641754004487</c:v>
                </c:pt>
                <c:pt idx="49">
                  <c:v>0.19445888359376903</c:v>
                </c:pt>
                <c:pt idx="50">
                  <c:v>0.13178723785238644</c:v>
                </c:pt>
                <c:pt idx="51">
                  <c:v>8.7240269553899727E-2</c:v>
                </c:pt>
                <c:pt idx="52">
                  <c:v>5.6809687495350418E-2</c:v>
                </c:pt>
                <c:pt idx="53">
                  <c:v>3.6585247513752125E-2</c:v>
                </c:pt>
                <c:pt idx="54">
                  <c:v>2.3388879059131736E-2</c:v>
                </c:pt>
                <c:pt idx="55">
                  <c:v>1.4881553094279893E-2</c:v>
                </c:pt>
                <c:pt idx="56">
                  <c:v>9.4397508571203437E-3</c:v>
                </c:pt>
                <c:pt idx="57">
                  <c:v>5.9762127422522361E-3</c:v>
                </c:pt>
                <c:pt idx="58">
                  <c:v>3.7787952701912246E-3</c:v>
                </c:pt>
                <c:pt idx="59">
                  <c:v>2.3874787379380615E-3</c:v>
                </c:pt>
                <c:pt idx="60">
                  <c:v>1.5076820655469502E-3</c:v>
                </c:pt>
                <c:pt idx="61">
                  <c:v>9.5179529245088107E-4</c:v>
                </c:pt>
                <c:pt idx="62">
                  <c:v>6.007463307642556E-4</c:v>
                </c:pt>
                <c:pt idx="63">
                  <c:v>3.791266092439104E-4</c:v>
                </c:pt>
                <c:pt idx="64">
                  <c:v>2.3924509608433351E-4</c:v>
                </c:pt>
                <c:pt idx="65">
                  <c:v>1.5096634311001435E-4</c:v>
                </c:pt>
                <c:pt idx="66">
                  <c:v>9.5258456319663616E-5</c:v>
                </c:pt>
                <c:pt idx="67">
                  <c:v>6.0106066450754936E-5</c:v>
                </c:pt>
                <c:pt idx="68">
                  <c:v>3.7925177777002118E-5</c:v>
                </c:pt>
                <c:pt idx="69">
                  <c:v>2.3929493411272131E-5</c:v>
                </c:pt>
                <c:pt idx="70">
                  <c:v>1.5098618588102804E-5</c:v>
                </c:pt>
              </c:numCache>
            </c:numRef>
          </c:yVal>
          <c:smooth val="1"/>
        </c:ser>
        <c:axId val="266341376"/>
        <c:axId val="266362240"/>
      </c:scatterChart>
      <c:valAx>
        <c:axId val="266341376"/>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48757991525569133"/>
              <c:y val="0.929384546443889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6362240"/>
        <c:crosses val="autoZero"/>
        <c:crossBetween val="midCat"/>
        <c:majorUnit val="1"/>
        <c:minorUnit val="1"/>
      </c:valAx>
      <c:valAx>
        <c:axId val="266362240"/>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average protonation</a:t>
                </a:r>
              </a:p>
            </c:rich>
          </c:tx>
          <c:layout>
            <c:manualLayout>
              <c:xMode val="edge"/>
              <c:yMode val="edge"/>
              <c:x val="7.2358602233544393E-3"/>
              <c:y val="0.376528519300941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634137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0082046068352127"/>
          <c:y val="1.2722597492572315E-2"/>
        </c:manualLayout>
      </c:layout>
      <c:spPr>
        <a:noFill/>
        <a:ln w="25400">
          <a:noFill/>
        </a:ln>
      </c:spPr>
    </c:title>
    <c:plotArea>
      <c:layout>
        <c:manualLayout>
          <c:layoutTarget val="inner"/>
          <c:xMode val="edge"/>
          <c:yMode val="edge"/>
          <c:x val="0.10403127541810658"/>
          <c:y val="9.2891767572868753E-2"/>
          <c:w val="0.82814387424583902"/>
          <c:h val="0.75698308342056364"/>
        </c:manualLayout>
      </c:layout>
      <c:scatterChart>
        <c:scatterStyle val="smoothMarker"/>
        <c:ser>
          <c:idx val="1"/>
          <c:order val="0"/>
          <c:tx>
            <c:v>alfa 0</c:v>
          </c:tx>
          <c:spPr>
            <a:ln w="25400">
              <a:solidFill>
                <a:srgbClr val="FF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Distribution!$AB$12:$AB$114</c:f>
              <c:numCache>
                <c:formatCode>0.000</c:formatCode>
                <c:ptCount val="103"/>
                <c:pt idx="0">
                  <c:v>1.1542201831276124E-13</c:v>
                </c:pt>
                <c:pt idx="1">
                  <c:v>3.1057683522215443E-13</c:v>
                </c:pt>
                <c:pt idx="2">
                  <c:v>8.3243704564385056E-13</c:v>
                </c:pt>
                <c:pt idx="3">
                  <c:v>2.2214558234290088E-12</c:v>
                </c:pt>
                <c:pt idx="4">
                  <c:v>5.9052080438432641E-12</c:v>
                </c:pt>
                <c:pt idx="5">
                  <c:v>1.5650268086015783E-11</c:v>
                </c:pt>
                <c:pt idx="6">
                  <c:v>4.1388025120930351E-11</c:v>
                </c:pt>
                <c:pt idx="7">
                  <c:v>1.0929420360898843E-10</c:v>
                </c:pt>
                <c:pt idx="8">
                  <c:v>2.8834118349147146E-10</c:v>
                </c:pt>
                <c:pt idx="9">
                  <c:v>7.602374505779797E-10</c:v>
                </c:pt>
                <c:pt idx="10">
                  <c:v>2.0036311640727687E-9</c:v>
                </c:pt>
                <c:pt idx="11">
                  <c:v>5.279195267944708E-9</c:v>
                </c:pt>
                <c:pt idx="12">
                  <c:v>1.3906819214244426E-8</c:v>
                </c:pt>
                <c:pt idx="13">
                  <c:v>3.662736311301109E-8</c:v>
                </c:pt>
                <c:pt idx="14">
                  <c:v>9.6447036246999137E-8</c:v>
                </c:pt>
                <c:pt idx="15">
                  <c:v>2.5388737198218256E-7</c:v>
                </c:pt>
                <c:pt idx="16">
                  <c:v>6.680219653801566E-7</c:v>
                </c:pt>
                <c:pt idx="17">
                  <c:v>1.7563380973178301E-6</c:v>
                </c:pt>
                <c:pt idx="18">
                  <c:v>4.6116917643530014E-6</c:v>
                </c:pt>
                <c:pt idx="19">
                  <c:v>1.2081571073439038E-5</c:v>
                </c:pt>
                <c:pt idx="20">
                  <c:v>3.1522303909222231E-5</c:v>
                </c:pt>
                <c:pt idx="21">
                  <c:v>8.1643888526584344E-5</c:v>
                </c:pt>
                <c:pt idx="22">
                  <c:v>2.0872746628887413E-4</c:v>
                </c:pt>
                <c:pt idx="23">
                  <c:v>5.2208561937586542E-4</c:v>
                </c:pt>
                <c:pt idx="24">
                  <c:v>1.2626416795622746E-3</c:v>
                </c:pt>
                <c:pt idx="25">
                  <c:v>2.9146336616592823E-3</c:v>
                </c:pt>
                <c:pt idx="26">
                  <c:v>6.3512332241065107E-3</c:v>
                </c:pt>
                <c:pt idx="27">
                  <c:v>1.2982513654708521E-2</c:v>
                </c:pt>
                <c:pt idx="28">
                  <c:v>2.4886004577105651E-2</c:v>
                </c:pt>
                <c:pt idx="29">
                  <c:v>4.4936653435724006E-2</c:v>
                </c:pt>
                <c:pt idx="30">
                  <c:v>7.6903554881155578E-2</c:v>
                </c:pt>
                <c:pt idx="31">
                  <c:v>0.12527577561379585</c:v>
                </c:pt>
                <c:pt idx="32">
                  <c:v>0.19434471043814563</c:v>
                </c:pt>
                <c:pt idx="33">
                  <c:v>0.28613957357311048</c:v>
                </c:pt>
                <c:pt idx="34">
                  <c:v>0.39767923578178033</c:v>
                </c:pt>
                <c:pt idx="35">
                  <c:v>0.51958349963643014</c:v>
                </c:pt>
                <c:pt idx="36">
                  <c:v>0.63840086309358202</c:v>
                </c:pt>
                <c:pt idx="37">
                  <c:v>0.74199393982614659</c:v>
                </c:pt>
                <c:pt idx="38">
                  <c:v>0.82390234562165365</c:v>
                </c:pt>
                <c:pt idx="39">
                  <c:v>0.88380405694505737</c:v>
                </c:pt>
                <c:pt idx="40">
                  <c:v>0.92515770269890385</c:v>
                </c:pt>
                <c:pt idx="41">
                  <c:v>0.95258254245332896</c:v>
                </c:pt>
                <c:pt idx="42">
                  <c:v>0.97028791641382295</c:v>
                </c:pt>
                <c:pt idx="43">
                  <c:v>0.98151953378655099</c:v>
                </c:pt>
                <c:pt idx="44">
                  <c:v>0.98856340202837445</c:v>
                </c:pt>
                <c:pt idx="45">
                  <c:v>0.99294711174646322</c:v>
                </c:pt>
                <c:pt idx="46">
                  <c:v>0.99566028044350563</c:v>
                </c:pt>
                <c:pt idx="47">
                  <c:v>0.99733262288240088</c:v>
                </c:pt>
                <c:pt idx="48">
                  <c:v>0.99836058731016109</c:v>
                </c:pt>
                <c:pt idx="49">
                  <c:v>0.99899166741787515</c:v>
                </c:pt>
                <c:pt idx="50">
                  <c:v>0.99937908193811331</c:v>
                </c:pt>
              </c:numCache>
            </c:numRef>
          </c:yVal>
          <c:smooth val="1"/>
        </c:ser>
        <c:ser>
          <c:idx val="0"/>
          <c:order val="1"/>
          <c:tx>
            <c:v>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Distribution!$AC$12:$AC$114</c:f>
              <c:numCache>
                <c:formatCode>0.000</c:formatCode>
                <c:ptCount val="103"/>
                <c:pt idx="0">
                  <c:v>2.6553693692933535E-6</c:v>
                </c:pt>
                <c:pt idx="1">
                  <c:v>4.3557682999785096E-6</c:v>
                </c:pt>
                <c:pt idx="2">
                  <c:v>7.1310804624972006E-6</c:v>
                </c:pt>
                <c:pt idx="3">
                  <c:v>1.1649237420692674E-5</c:v>
                </c:pt>
                <c:pt idx="4">
                  <c:v>1.8993047862539218E-5</c:v>
                </c:pt>
                <c:pt idx="5">
                  <c:v>3.0919706449464492E-5</c:v>
                </c:pt>
                <c:pt idx="6">
                  <c:v>5.0281429817405146E-5</c:v>
                </c:pt>
                <c:pt idx="7">
                  <c:v>8.1707515929033676E-5</c:v>
                </c:pt>
                <c:pt idx="8">
                  <c:v>1.3271062799322708E-4</c:v>
                </c:pt>
                <c:pt idx="9">
                  <c:v>2.1548101832837788E-4</c:v>
                </c:pt>
                <c:pt idx="10">
                  <c:v>3.4979540794230436E-4</c:v>
                </c:pt>
                <c:pt idx="11">
                  <c:v>5.6772985325229748E-4</c:v>
                </c:pt>
                <c:pt idx="12">
                  <c:v>9.212869935698772E-4</c:v>
                </c:pt>
                <c:pt idx="13">
                  <c:v>1.4947177367794482E-3</c:v>
                </c:pt>
                <c:pt idx="14">
                  <c:v>2.4243678939722436E-3</c:v>
                </c:pt>
                <c:pt idx="15">
                  <c:v>3.9304882652053813E-3</c:v>
                </c:pt>
                <c:pt idx="16">
                  <c:v>6.367797441769108E-3</c:v>
                </c:pt>
                <c:pt idx="17">
                  <c:v>1.0304706194765896E-2</c:v>
                </c:pt>
                <c:pt idx="18">
                  <c:v>1.664430335145663E-2</c:v>
                </c:pt>
                <c:pt idx="19">
                  <c:v>2.6800392778435756E-2</c:v>
                </c:pt>
                <c:pt idx="20">
                  <c:v>4.2929417259694451E-2</c:v>
                </c:pt>
                <c:pt idx="21">
                  <c:v>6.8169856113364943E-2</c:v>
                </c:pt>
                <c:pt idx="22">
                  <c:v>0.1067126333879234</c:v>
                </c:pt>
                <c:pt idx="23">
                  <c:v>0.16330521135174603</c:v>
                </c:pt>
                <c:pt idx="24">
                  <c:v>0.24165357197560672</c:v>
                </c:pt>
                <c:pt idx="25">
                  <c:v>0.34162297031649858</c:v>
                </c:pt>
                <c:pt idx="26">
                  <c:v>0.45651233814176712</c:v>
                </c:pt>
                <c:pt idx="27">
                  <c:v>0.5730119304665946</c:v>
                </c:pt>
                <c:pt idx="28">
                  <c:v>0.6752180702580769</c:v>
                </c:pt>
                <c:pt idx="29">
                  <c:v>0.75010029600407868</c:v>
                </c:pt>
                <c:pt idx="30">
                  <c:v>0.79018811542291123</c:v>
                </c:pt>
                <c:pt idx="31">
                  <c:v>0.79263016662626806</c:v>
                </c:pt>
                <c:pt idx="32">
                  <c:v>0.75734373837188929</c:v>
                </c:pt>
                <c:pt idx="33">
                  <c:v>0.68687005452441152</c:v>
                </c:pt>
                <c:pt idx="34">
                  <c:v>0.58808487083592254</c:v>
                </c:pt>
                <c:pt idx="35">
                  <c:v>0.47335722222906768</c:v>
                </c:pt>
                <c:pt idx="36">
                  <c:v>0.3583071722319337</c:v>
                </c:pt>
                <c:pt idx="37">
                  <c:v>0.2565539661557738</c:v>
                </c:pt>
                <c:pt idx="38">
                  <c:v>0.17548580311013856</c:v>
                </c:pt>
                <c:pt idx="39">
                  <c:v>0.11594694254304232</c:v>
                </c:pt>
                <c:pt idx="40">
                  <c:v>7.4743449245461502E-2</c:v>
                </c:pt>
                <c:pt idx="41">
                  <c:v>4.7378882661709011E-2</c:v>
                </c:pt>
                <c:pt idx="42">
                  <c:v>2.9697204777712191E-2</c:v>
                </c:pt>
                <c:pt idx="43">
                  <c:v>1.8474773793386322E-2</c:v>
                </c:pt>
                <c:pt idx="44">
                  <c:v>1.1434432949371586E-2</c:v>
                </c:pt>
                <c:pt idx="45">
                  <c:v>7.0520683843928794E-3</c:v>
                </c:pt>
                <c:pt idx="46">
                  <c:v>4.339409965862526E-3</c:v>
                </c:pt>
                <c:pt idx="47">
                  <c:v>2.6672603483679572E-3</c:v>
                </c:pt>
                <c:pt idx="48">
                  <c:v>1.6393686238585072E-3</c:v>
                </c:pt>
                <c:pt idx="49">
                  <c:v>1.008315922354364E-3</c:v>
                </c:pt>
                <c:pt idx="50">
                  <c:v>6.2091174697710379E-4</c:v>
                </c:pt>
              </c:numCache>
            </c:numRef>
          </c:yVal>
          <c:smooth val="1"/>
        </c:ser>
        <c:ser>
          <c:idx val="2"/>
          <c:order val="2"/>
          <c:tx>
            <c:v>alfa 2</c:v>
          </c:tx>
          <c:spPr>
            <a:ln w="25400">
              <a:solidFill>
                <a:srgbClr val="008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Distribution!$AD$12:$AD$114</c:f>
              <c:numCache>
                <c:formatCode>0.000</c:formatCode>
                <c:ptCount val="103"/>
                <c:pt idx="0">
                  <c:v>0.99999734463051526</c:v>
                </c:pt>
                <c:pt idx="1">
                  <c:v>0.99999564423138954</c:v>
                </c:pt>
                <c:pt idx="2">
                  <c:v>0.99999286891870509</c:v>
                </c:pt>
                <c:pt idx="3">
                  <c:v>0.99998835076035786</c:v>
                </c:pt>
                <c:pt idx="4">
                  <c:v>0.99998100694623215</c:v>
                </c:pt>
                <c:pt idx="5">
                  <c:v>0.99996908027790032</c:v>
                </c:pt>
                <c:pt idx="6">
                  <c:v>0.99994971852879455</c:v>
                </c:pt>
                <c:pt idx="7">
                  <c:v>0.99991829237477692</c:v>
                </c:pt>
                <c:pt idx="8">
                  <c:v>0.99986728908366551</c:v>
                </c:pt>
                <c:pt idx="9">
                  <c:v>0.99978451822143422</c:v>
                </c:pt>
                <c:pt idx="10">
                  <c:v>0.99965020258842652</c:v>
                </c:pt>
                <c:pt idx="11">
                  <c:v>0.99943226486755243</c:v>
                </c:pt>
                <c:pt idx="12">
                  <c:v>0.999078699099611</c:v>
                </c:pt>
                <c:pt idx="13">
                  <c:v>0.99850524563585752</c:v>
                </c:pt>
                <c:pt idx="14">
                  <c:v>0.99757553565899149</c:v>
                </c:pt>
                <c:pt idx="15">
                  <c:v>0.99606925784742262</c:v>
                </c:pt>
                <c:pt idx="16">
                  <c:v>0.9936315345362654</c:v>
                </c:pt>
                <c:pt idx="17">
                  <c:v>0.98969353746713673</c:v>
                </c:pt>
                <c:pt idx="18">
                  <c:v>0.98335108495677892</c:v>
                </c:pt>
                <c:pt idx="19">
                  <c:v>0.97318752565049071</c:v>
                </c:pt>
                <c:pt idx="20">
                  <c:v>0.9570390604363963</c:v>
                </c:pt>
                <c:pt idx="21">
                  <c:v>0.93174849999810849</c:v>
                </c:pt>
                <c:pt idx="22">
                  <c:v>0.89307863914578778</c:v>
                </c:pt>
                <c:pt idx="23">
                  <c:v>0.83617270302887814</c:v>
                </c:pt>
                <c:pt idx="24">
                  <c:v>0.75708378634483098</c:v>
                </c:pt>
                <c:pt idx="25">
                  <c:v>0.65546239602184209</c:v>
                </c:pt>
                <c:pt idx="26">
                  <c:v>0.53713642863412625</c:v>
                </c:pt>
                <c:pt idx="27">
                  <c:v>0.41400555587869681</c:v>
                </c:pt>
                <c:pt idx="28">
                  <c:v>0.29989592516481739</c:v>
                </c:pt>
                <c:pt idx="29">
                  <c:v>0.20496305056019731</c:v>
                </c:pt>
                <c:pt idx="30">
                  <c:v>0.13290832969593314</c:v>
                </c:pt>
                <c:pt idx="31">
                  <c:v>8.209405775993614E-2</c:v>
                </c:pt>
                <c:pt idx="32">
                  <c:v>4.8311551189965059E-2</c:v>
                </c:pt>
                <c:pt idx="33">
                  <c:v>2.6990371902477994E-2</c:v>
                </c:pt>
                <c:pt idx="34">
                  <c:v>1.4235893382297134E-2</c:v>
                </c:pt>
                <c:pt idx="35">
                  <c:v>7.059278134502185E-3</c:v>
                </c:pt>
                <c:pt idx="36">
                  <c:v>3.2919646744842684E-3</c:v>
                </c:pt>
                <c:pt idx="37">
                  <c:v>1.45209401807968E-3</c:v>
                </c:pt>
                <c:pt idx="38">
                  <c:v>6.118512682078786E-4</c:v>
                </c:pt>
                <c:pt idx="39">
                  <c:v>2.4900051190022634E-4</c:v>
                </c:pt>
                <c:pt idx="40">
                  <c:v>9.8848055634678044E-5</c:v>
                </c:pt>
                <c:pt idx="41">
                  <c:v>3.857488496198067E-5</c:v>
                </c:pt>
                <c:pt idx="42">
                  <c:v>1.4878808464927134E-5</c:v>
                </c:pt>
                <c:pt idx="43">
                  <c:v>5.6924200626363564E-6</c:v>
                </c:pt>
                <c:pt idx="44">
                  <c:v>2.1650222539122115E-6</c:v>
                </c:pt>
                <c:pt idx="45">
                  <c:v>8.1986914385096695E-7</c:v>
                </c:pt>
                <c:pt idx="46">
                  <c:v>3.0959063179391627E-7</c:v>
                </c:pt>
                <c:pt idx="47">
                  <c:v>1.1676923126781954E-7</c:v>
                </c:pt>
                <c:pt idx="48">
                  <c:v>4.4065980548669806E-8</c:v>
                </c:pt>
                <c:pt idx="49">
                  <c:v>1.6659770457196745E-8</c:v>
                </c:pt>
                <c:pt idx="50">
                  <c:v>6.3149094321245938E-9</c:v>
                </c:pt>
              </c:numCache>
            </c:numRef>
          </c:yVal>
          <c:smooth val="1"/>
        </c:ser>
        <c:ser>
          <c:idx val="3"/>
          <c:order val="3"/>
          <c:tx>
            <c:v>alfa 3</c:v>
          </c:tx>
          <c:spPr>
            <a:ln w="25400">
              <a:solidFill>
                <a:srgbClr val="9933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Distribution!$AE$12:$AE$114</c:f>
              <c:numCache>
                <c:formatCode>0.000</c:formatCode>
                <c:ptCount val="103"/>
              </c:numCache>
            </c:numRef>
          </c:yVal>
          <c:smooth val="1"/>
        </c:ser>
        <c:ser>
          <c:idx val="4"/>
          <c:order val="4"/>
          <c:tx>
            <c:v>alfa 4</c:v>
          </c:tx>
          <c:spPr>
            <a:ln w="25400">
              <a:solidFill>
                <a:srgbClr val="00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Distribution!$AF$12:$AF$114</c:f>
              <c:numCache>
                <c:formatCode>0.000</c:formatCode>
                <c:ptCount val="103"/>
              </c:numCache>
            </c:numRef>
          </c:yVal>
          <c:smooth val="1"/>
        </c:ser>
        <c:ser>
          <c:idx val="5"/>
          <c:order val="5"/>
          <c:tx>
            <c:v>alfa 5</c:v>
          </c:tx>
          <c:spPr>
            <a:ln w="25400">
              <a:solidFill>
                <a:srgbClr val="FF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Distribution!$AG$12:$AG$114</c:f>
              <c:numCache>
                <c:formatCode>0.000</c:formatCode>
                <c:ptCount val="103"/>
              </c:numCache>
            </c:numRef>
          </c:yVal>
          <c:smooth val="1"/>
        </c:ser>
        <c:ser>
          <c:idx val="6"/>
          <c:order val="6"/>
          <c:tx>
            <c:v>alfa 6</c:v>
          </c:tx>
          <c:spPr>
            <a:ln w="25400">
              <a:solidFill>
                <a:srgbClr val="008080"/>
              </a:solidFill>
              <a:prstDash val="solid"/>
            </a:ln>
          </c:spPr>
          <c:marker>
            <c:symbol val="circl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Distribution!$AH$12:$AH$13</c:f>
              <c:numCache>
                <c:formatCode>0.000</c:formatCode>
                <c:ptCount val="2"/>
              </c:numCache>
            </c:numRef>
          </c:yVal>
          <c:smooth val="1"/>
        </c:ser>
        <c:axId val="266917376"/>
        <c:axId val="266952704"/>
      </c:scatterChart>
      <c:scatterChart>
        <c:scatterStyle val="smoothMarker"/>
        <c:ser>
          <c:idx val="7"/>
          <c:order val="7"/>
          <c:spPr>
            <a:ln w="12700">
              <a:solidFill>
                <a:srgbClr val="002060"/>
              </a:solidFill>
              <a:prstDash val="sysDash"/>
            </a:ln>
          </c:spPr>
          <c:marker>
            <c:symbol val="circle"/>
            <c:size val="5"/>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6954624"/>
        <c:axId val="266956160"/>
      </c:scatterChart>
      <c:valAx>
        <c:axId val="266917376"/>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7892979780689487"/>
              <c:y val="0.9319788960390107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6952704"/>
        <c:crosses val="autoZero"/>
        <c:crossBetween val="midCat"/>
      </c:valAx>
      <c:valAx>
        <c:axId val="266952704"/>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725" b="0" i="0" u="none" strike="noStrike" baseline="0">
                    <a:solidFill>
                      <a:srgbClr val="000000"/>
                    </a:solidFill>
                    <a:latin typeface="Symbol"/>
                  </a:rPr>
                  <a:t>a</a:t>
                </a:r>
                <a:r>
                  <a:rPr lang="pl-PL" sz="1725" b="1" i="0" u="none" strike="noStrike" baseline="-25000">
                    <a:solidFill>
                      <a:srgbClr val="000000"/>
                    </a:solidFill>
                    <a:latin typeface="Arial"/>
                    <a:cs typeface="Arial"/>
                  </a:rPr>
                  <a:t>i</a:t>
                </a:r>
              </a:p>
            </c:rich>
          </c:tx>
          <c:layout>
            <c:manualLayout>
              <c:xMode val="edge"/>
              <c:yMode val="edge"/>
              <c:x val="6.5019935749138103E-3"/>
              <c:y val="0.4631053732496638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6917376"/>
        <c:crosses val="autoZero"/>
        <c:crossBetween val="midCat"/>
      </c:valAx>
      <c:valAx>
        <c:axId val="266954624"/>
        <c:scaling>
          <c:orientation val="minMax"/>
        </c:scaling>
        <c:delete val="1"/>
        <c:axPos val="b"/>
        <c:numFmt formatCode="0.000" sourceLinked="1"/>
        <c:tickLblPos val="none"/>
        <c:crossAx val="266956160"/>
        <c:crosses val="autoZero"/>
        <c:crossBetween val="midCat"/>
      </c:valAx>
      <c:valAx>
        <c:axId val="266956160"/>
        <c:scaling>
          <c:orientation val="minMax"/>
        </c:scaling>
        <c:axPos val="r"/>
        <c:numFmt formatCode="0" sourceLinked="0"/>
        <c:tickLblPos val="nextTo"/>
        <c:crossAx val="266954624"/>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along a titration</a:t>
            </a:r>
          </a:p>
        </c:rich>
      </c:tx>
      <c:layout>
        <c:manualLayout>
          <c:xMode val="edge"/>
          <c:yMode val="edge"/>
          <c:x val="9.046969259732586E-2"/>
          <c:y val="8.8688304205876735E-3"/>
        </c:manualLayout>
      </c:layout>
      <c:spPr>
        <a:noFill/>
        <a:ln w="25400">
          <a:noFill/>
        </a:ln>
      </c:spPr>
    </c:title>
    <c:plotArea>
      <c:layout>
        <c:manualLayout>
          <c:layoutTarget val="inner"/>
          <c:xMode val="edge"/>
          <c:yMode val="edge"/>
          <c:x val="9.5209477722708422E-2"/>
          <c:y val="8.2321721799913636E-2"/>
          <c:w val="0.8310815360476097"/>
          <c:h val="0.77529771617703602"/>
        </c:manualLayout>
      </c:layout>
      <c:scatterChart>
        <c:scatterStyle val="smoothMarker"/>
        <c:ser>
          <c:idx val="0"/>
          <c:order val="0"/>
          <c:tx>
            <c:v>h médio</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Distribution!$AA$12:$AA$114</c:f>
              <c:numCache>
                <c:formatCode>0.000</c:formatCode>
                <c:ptCount val="103"/>
                <c:pt idx="0">
                  <c:v>1.9999973446303998</c:v>
                </c:pt>
                <c:pt idx="1">
                  <c:v>1.9999956442310791</c:v>
                </c:pt>
                <c:pt idx="2">
                  <c:v>1.9999928689178728</c:v>
                </c:pt>
                <c:pt idx="3">
                  <c:v>1.9999883507581364</c:v>
                </c:pt>
                <c:pt idx="4">
                  <c:v>1.999981006940327</c:v>
                </c:pt>
                <c:pt idx="5">
                  <c:v>1.9999690802622501</c:v>
                </c:pt>
                <c:pt idx="6">
                  <c:v>1.9999497184874064</c:v>
                </c:pt>
                <c:pt idx="7">
                  <c:v>1.9999182922654826</c:v>
                </c:pt>
                <c:pt idx="8">
                  <c:v>1.9998672887953242</c:v>
                </c:pt>
                <c:pt idx="9">
                  <c:v>1.999784517461197</c:v>
                </c:pt>
                <c:pt idx="10">
                  <c:v>1.9996502005847956</c:v>
                </c:pt>
                <c:pt idx="11">
                  <c:v>1.9994322595883574</c:v>
                </c:pt>
                <c:pt idx="12">
                  <c:v>1.9990786851927917</c:v>
                </c:pt>
                <c:pt idx="13">
                  <c:v>1.9985052090084943</c:v>
                </c:pt>
                <c:pt idx="14">
                  <c:v>1.9975754392119551</c:v>
                </c:pt>
                <c:pt idx="15">
                  <c:v>1.9960690039600504</c:v>
                </c:pt>
                <c:pt idx="16">
                  <c:v>1.9936308665143001</c:v>
                </c:pt>
                <c:pt idx="17">
                  <c:v>1.9896917811290393</c:v>
                </c:pt>
                <c:pt idx="18">
                  <c:v>1.9833464732650146</c:v>
                </c:pt>
                <c:pt idx="19">
                  <c:v>1.9731754440794174</c:v>
                </c:pt>
                <c:pt idx="20">
                  <c:v>1.957007538132487</c:v>
                </c:pt>
                <c:pt idx="21">
                  <c:v>1.9316668561095818</c:v>
                </c:pt>
                <c:pt idx="22">
                  <c:v>1.8928699116794991</c:v>
                </c:pt>
                <c:pt idx="23">
                  <c:v>1.8356506174095022</c:v>
                </c:pt>
                <c:pt idx="24">
                  <c:v>1.755821144665269</c:v>
                </c:pt>
                <c:pt idx="25">
                  <c:v>1.6525477623601825</c:v>
                </c:pt>
                <c:pt idx="26">
                  <c:v>1.5307851954100198</c:v>
                </c:pt>
                <c:pt idx="27">
                  <c:v>1.4010230422239882</c:v>
                </c:pt>
                <c:pt idx="28">
                  <c:v>1.2750099205877117</c:v>
                </c:pt>
                <c:pt idx="29">
                  <c:v>1.1600263971244733</c:v>
                </c:pt>
                <c:pt idx="30">
                  <c:v>1.0560047748147776</c:v>
                </c:pt>
                <c:pt idx="31">
                  <c:v>0.9568182821461404</c:v>
                </c:pt>
                <c:pt idx="32">
                  <c:v>0.85396684075181928</c:v>
                </c:pt>
                <c:pt idx="33">
                  <c:v>0.74085079832936751</c:v>
                </c:pt>
                <c:pt idx="34">
                  <c:v>0.6165566576005167</c:v>
                </c:pt>
                <c:pt idx="35">
                  <c:v>0.487475778498072</c:v>
                </c:pt>
                <c:pt idx="36">
                  <c:v>0.36489110158090221</c:v>
                </c:pt>
                <c:pt idx="37">
                  <c:v>0.25945815419193319</c:v>
                </c:pt>
                <c:pt idx="38">
                  <c:v>0.17670950564655433</c:v>
                </c:pt>
                <c:pt idx="39">
                  <c:v>0.11644494356684276</c:v>
                </c:pt>
                <c:pt idx="40">
                  <c:v>7.4941145356730854E-2</c:v>
                </c:pt>
                <c:pt idx="41">
                  <c:v>4.7456032431632975E-2</c:v>
                </c:pt>
                <c:pt idx="42">
                  <c:v>2.9726962394642044E-2</c:v>
                </c:pt>
                <c:pt idx="43">
                  <c:v>1.8486158633511596E-2</c:v>
                </c:pt>
                <c:pt idx="44">
                  <c:v>1.1438762993879411E-2</c:v>
                </c:pt>
                <c:pt idx="45">
                  <c:v>7.0537081226805807E-3</c:v>
                </c:pt>
                <c:pt idx="46">
                  <c:v>4.3400291471261138E-3</c:v>
                </c:pt>
                <c:pt idx="47">
                  <c:v>2.6674938868304927E-3</c:v>
                </c:pt>
                <c:pt idx="48">
                  <c:v>1.6394567558196045E-3</c:v>
                </c:pt>
                <c:pt idx="49">
                  <c:v>1.0083492418952783E-3</c:v>
                </c:pt>
                <c:pt idx="50">
                  <c:v>6.2092437679596804E-4</c:v>
                </c:pt>
              </c:numCache>
            </c:numRef>
          </c:yVal>
          <c:smooth val="1"/>
        </c:ser>
        <c:axId val="267125504"/>
        <c:axId val="267127808"/>
      </c:scatterChart>
      <c:scatterChart>
        <c:scatterStyle val="smoothMarker"/>
        <c:ser>
          <c:idx val="1"/>
          <c:order val="1"/>
          <c:spPr>
            <a:ln w="15875">
              <a:solidFill>
                <a:srgbClr val="1C52BE"/>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7146368"/>
        <c:axId val="267147904"/>
      </c:scatterChart>
      <c:valAx>
        <c:axId val="26712550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4629948743318065"/>
              <c:y val="0.9428085269829075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127808"/>
        <c:crosses val="autoZero"/>
        <c:crossBetween val="midCat"/>
      </c:valAx>
      <c:valAx>
        <c:axId val="267127808"/>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average protonation</a:t>
                </a:r>
              </a:p>
            </c:rich>
          </c:tx>
          <c:layout>
            <c:manualLayout>
              <c:xMode val="edge"/>
              <c:yMode val="edge"/>
              <c:x val="8.7977353616138301E-3"/>
              <c:y val="0.381418603162409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125504"/>
        <c:crosses val="autoZero"/>
        <c:crossBetween val="midCat"/>
      </c:valAx>
      <c:valAx>
        <c:axId val="267146368"/>
        <c:scaling>
          <c:orientation val="minMax"/>
        </c:scaling>
        <c:delete val="1"/>
        <c:axPos val="b"/>
        <c:numFmt formatCode="0.000" sourceLinked="1"/>
        <c:tickLblPos val="none"/>
        <c:crossAx val="267147904"/>
        <c:crosses val="autoZero"/>
        <c:crossBetween val="midCat"/>
      </c:valAx>
      <c:valAx>
        <c:axId val="267147904"/>
        <c:scaling>
          <c:orientation val="minMax"/>
        </c:scaling>
        <c:axPos val="r"/>
        <c:numFmt formatCode="0" sourceLinked="0"/>
        <c:tickLblPos val="nextTo"/>
        <c:crossAx val="26714636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143232978230662"/>
          <c:y val="1.3192612137203163E-2"/>
        </c:manualLayout>
      </c:layout>
      <c:spPr>
        <a:noFill/>
        <a:ln w="25400">
          <a:noFill/>
        </a:ln>
      </c:spPr>
    </c:title>
    <c:plotArea>
      <c:layout>
        <c:manualLayout>
          <c:layoutTarget val="inner"/>
          <c:xMode val="edge"/>
          <c:yMode val="edge"/>
          <c:x val="0.11671477952397713"/>
          <c:y val="8.7719512941320438E-2"/>
          <c:w val="0.8515856135638451"/>
          <c:h val="0.75689408309370676"/>
        </c:manualLayout>
      </c:layout>
      <c:scatterChart>
        <c:scatterStyle val="smoothMarker"/>
        <c:ser>
          <c:idx val="1"/>
          <c:order val="0"/>
          <c:tx>
            <c:v>Alpha B</c:v>
          </c:tx>
          <c:spPr>
            <a:ln w="25400">
              <a:solidFill>
                <a:srgbClr val="FF0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Distribution!$AN$12:$AN$82</c:f>
              <c:numCache>
                <c:formatCode>0.000</c:formatCode>
                <c:ptCount val="71"/>
                <c:pt idx="0">
                  <c:v>-16.571817473775944</c:v>
                </c:pt>
                <c:pt idx="1">
                  <c:v>-16.1718200736486</c:v>
                </c:pt>
                <c:pt idx="2">
                  <c:v>-15.771822679532347</c:v>
                </c:pt>
                <c:pt idx="3">
                  <c:v>-15.371825294943033</c:v>
                </c:pt>
                <c:pt idx="4">
                  <c:v>-14.971827925452896</c:v>
                </c:pt>
                <c:pt idx="5">
                  <c:v>-14.571830579893339</c:v>
                </c:pt>
                <c:pt idx="6">
                  <c:v>-14.171833272261184</c:v>
                </c:pt>
                <c:pt idx="7">
                  <c:v>-13.77183602473988</c:v>
                </c:pt>
                <c:pt idx="8">
                  <c:v>-13.371838872487782</c:v>
                </c:pt>
                <c:pt idx="9">
                  <c:v>-12.971841871227015</c:v>
                </c:pt>
                <c:pt idx="10">
                  <c:v>-12.57184510927093</c:v>
                </c:pt>
                <c:pt idx="11">
                  <c:v>-12.171848726586042</c:v>
                </c:pt>
                <c:pt idx="12">
                  <c:v>-11.771852945002594</c:v>
                </c:pt>
                <c:pt idx="13">
                  <c:v>-11.371858116093446</c:v>
                </c:pt>
                <c:pt idx="14">
                  <c:v>-10.971864797053003</c:v>
                </c:pt>
                <c:pt idx="15">
                  <c:v>-10.571873870947238</c:v>
                </c:pt>
                <c:pt idx="16">
                  <c:v>-10.171886737271896</c:v>
                </c:pt>
                <c:pt idx="17">
                  <c:v>-9.7719056139037281</c:v>
                </c:pt>
                <c:pt idx="18">
                  <c:v>-9.3719340155021538</c:v>
                </c:pt>
                <c:pt idx="19">
                  <c:v>-8.9719775113260773</c:v>
                </c:pt>
                <c:pt idx="20">
                  <c:v>-8.5720449252916016</c:v>
                </c:pt>
                <c:pt idx="21">
                  <c:v>-8.1721502354227287</c:v>
                </c:pt>
                <c:pt idx="22">
                  <c:v>-7.7723155779741386</c:v>
                </c:pt>
                <c:pt idx="23">
                  <c:v>-7.3725759928405248</c:v>
                </c:pt>
                <c:pt idx="24">
                  <c:v>-6.9729869049437605</c:v>
                </c:pt>
                <c:pt idx="25">
                  <c:v>-6.5736358824841163</c:v>
                </c:pt>
                <c:pt idx="26">
                  <c:v>-6.1746610258312309</c:v>
                </c:pt>
                <c:pt idx="27">
                  <c:v>-5.7762794996701405</c:v>
                </c:pt>
                <c:pt idx="28">
                  <c:v>-5.3788312442361024</c:v>
                </c:pt>
                <c:pt idx="29">
                  <c:v>-4.9828445739620637</c:v>
                </c:pt>
                <c:pt idx="30">
                  <c:v>-4.5891313312184172</c:v>
                </c:pt>
                <c:pt idx="31">
                  <c:v>-4.1989171587692571</c:v>
                </c:pt>
                <c:pt idx="32">
                  <c:v>-3.8140021665054316</c:v>
                </c:pt>
                <c:pt idx="33">
                  <c:v>-3.4369202980721787</c:v>
                </c:pt>
                <c:pt idx="34">
                  <c:v>-3.0710148032387741</c:v>
                </c:pt>
                <c:pt idx="35">
                  <c:v>-2.7202855027177639</c:v>
                </c:pt>
                <c:pt idx="36">
                  <c:v>-2.3888581274576151</c:v>
                </c:pt>
                <c:pt idx="37">
                  <c:v>-2.0800913895487723</c:v>
                </c:pt>
                <c:pt idx="38">
                  <c:v>-1.7956806060837094</c:v>
                </c:pt>
                <c:pt idx="39">
                  <c:v>-1.5353353662251237</c:v>
                </c:pt>
                <c:pt idx="40">
                  <c:v>-1.2973295128457705</c:v>
                </c:pt>
                <c:pt idx="41">
                  <c:v>-1.0796228533844903</c:v>
                </c:pt>
                <c:pt idx="42">
                  <c:v>-0.8809458838491746</c:v>
                </c:pt>
                <c:pt idx="43">
                  <c:v>-0.70140118179614397</c:v>
                </c:pt>
                <c:pt idx="44">
                  <c:v>-0.5424166359594268</c:v>
                </c:pt>
                <c:pt idx="45">
                  <c:v>-0.40606083629775369</c:v>
                </c:pt>
                <c:pt idx="46">
                  <c:v>-0.29391926675898117</c:v>
                </c:pt>
                <c:pt idx="47">
                  <c:v>-0.20601730022232662</c:v>
                </c:pt>
                <c:pt idx="48">
                  <c:v>-0.14038780676689969</c:v>
                </c:pt>
                <c:pt idx="49">
                  <c:v>-9.3504383698239907E-2</c:v>
                </c:pt>
                <c:pt idx="50">
                  <c:v>-6.1211335682009468E-2</c:v>
                </c:pt>
                <c:pt idx="51">
                  <c:v>-3.9578745360394789E-2</c:v>
                </c:pt>
                <c:pt idx="52">
                  <c:v>-2.5374816742205975E-2</c:v>
                </c:pt>
                <c:pt idx="53">
                  <c:v>-1.6176376823581841E-2</c:v>
                </c:pt>
                <c:pt idx="54">
                  <c:v>-1.0274196983306802E-2</c:v>
                </c:pt>
                <c:pt idx="55">
                  <c:v>-6.5098855693862638E-3</c:v>
                </c:pt>
                <c:pt idx="56">
                  <c:v>-4.1184322134842017E-3</c:v>
                </c:pt>
                <c:pt idx="57">
                  <c:v>-2.6029489749796165E-3</c:v>
                </c:pt>
                <c:pt idx="58">
                  <c:v>-1.6441055720460803E-3</c:v>
                </c:pt>
                <c:pt idx="59">
                  <c:v>-1.0380611351218534E-3</c:v>
                </c:pt>
                <c:pt idx="60">
                  <c:v>-6.5525164738552738E-4</c:v>
                </c:pt>
                <c:pt idx="61">
                  <c:v>-4.1354715557581531E-4</c:v>
                </c:pt>
                <c:pt idx="62">
                  <c:v>-2.6097495724455459E-4</c:v>
                </c:pt>
                <c:pt idx="63">
                  <c:v>-1.6468172555614302E-4</c:v>
                </c:pt>
                <c:pt idx="64">
                  <c:v>-1.0391417630425373E-4</c:v>
                </c:pt>
                <c:pt idx="65">
                  <c:v>-6.5568212668304496E-5</c:v>
                </c:pt>
                <c:pt idx="66">
                  <c:v>-4.1371860126279378E-5</c:v>
                </c:pt>
                <c:pt idx="67">
                  <c:v>-2.6104322829357552E-5</c:v>
                </c:pt>
                <c:pt idx="68">
                  <c:v>-1.6470890909561246E-5</c:v>
                </c:pt>
                <c:pt idx="69">
                  <c:v>-1.0392499935851709E-5</c:v>
                </c:pt>
                <c:pt idx="70">
                  <c:v>-6.5572521678154425E-6</c:v>
                </c:pt>
              </c:numCache>
            </c:numRef>
          </c:yVal>
          <c:smooth val="1"/>
        </c:ser>
        <c:ser>
          <c:idx val="0"/>
          <c:order val="1"/>
          <c:tx>
            <c:v>Alpha HB</c:v>
          </c:tx>
          <c:spPr>
            <a:ln w="25400">
              <a:solidFill>
                <a:srgbClr val="000000"/>
              </a:solidFill>
              <a:prstDash val="solid"/>
            </a:ln>
          </c:spPr>
          <c:marker>
            <c:symbol val="square"/>
            <c:size val="6"/>
            <c:spPr>
              <a:noFill/>
              <a:ln w="9525">
                <a:noFill/>
              </a:ln>
            </c:spPr>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Distribution!$AO$12:$AO$82</c:f>
              <c:numCache>
                <c:formatCode>0.000</c:formatCode>
                <c:ptCount val="71"/>
                <c:pt idx="0">
                  <c:v>-7.3929333411596803</c:v>
                </c:pt>
                <c:pt idx="1">
                  <c:v>-7.1929346462346322</c:v>
                </c:pt>
                <c:pt idx="2">
                  <c:v>-6.9929359573206753</c:v>
                </c:pt>
                <c:pt idx="3">
                  <c:v>-6.7929372779336576</c:v>
                </c:pt>
                <c:pt idx="4">
                  <c:v>-6.5929386136458179</c:v>
                </c:pt>
                <c:pt idx="5">
                  <c:v>-6.3929399732885575</c:v>
                </c:pt>
                <c:pt idx="6">
                  <c:v>-6.1929413708586996</c:v>
                </c:pt>
                <c:pt idx="7">
                  <c:v>-5.9929428285396922</c:v>
                </c:pt>
                <c:pt idx="8">
                  <c:v>-5.7929443814898907</c:v>
                </c:pt>
                <c:pt idx="9">
                  <c:v>-5.5929460854314241</c:v>
                </c:pt>
                <c:pt idx="10">
                  <c:v>-5.3929480286776341</c:v>
                </c:pt>
                <c:pt idx="11">
                  <c:v>-5.1929503511950434</c:v>
                </c:pt>
                <c:pt idx="12">
                  <c:v>-4.9929532748138934</c:v>
                </c:pt>
                <c:pt idx="13">
                  <c:v>-4.7929571511070401</c:v>
                </c:pt>
                <c:pt idx="14">
                  <c:v>-4.5929625372688969</c:v>
                </c:pt>
                <c:pt idx="15">
                  <c:v>-4.3929703163654281</c:v>
                </c:pt>
                <c:pt idx="16">
                  <c:v>-4.1929818878923824</c:v>
                </c:pt>
                <c:pt idx="17">
                  <c:v>-3.992999469726513</c:v>
                </c:pt>
                <c:pt idx="18">
                  <c:v>-3.7930265765272364</c:v>
                </c:pt>
                <c:pt idx="19">
                  <c:v>-3.5930687775534573</c:v>
                </c:pt>
                <c:pt idx="20">
                  <c:v>-3.3931348967212767</c:v>
                </c:pt>
                <c:pt idx="21">
                  <c:v>-3.1932389120547016</c:v>
                </c:pt>
                <c:pt idx="22">
                  <c:v>-2.9934029598084089</c:v>
                </c:pt>
                <c:pt idx="23">
                  <c:v>-2.7936620798770924</c:v>
                </c:pt>
                <c:pt idx="24">
                  <c:v>-2.5940716971826254</c:v>
                </c:pt>
                <c:pt idx="25">
                  <c:v>-2.3947193799252782</c:v>
                </c:pt>
                <c:pt idx="26">
                  <c:v>-2.1957432284746901</c:v>
                </c:pt>
                <c:pt idx="27">
                  <c:v>-1.9973604075158968</c:v>
                </c:pt>
                <c:pt idx="28">
                  <c:v>-1.7999108572841556</c:v>
                </c:pt>
                <c:pt idx="29">
                  <c:v>-1.6039228922124145</c:v>
                </c:pt>
                <c:pt idx="30">
                  <c:v>-1.4102083546710651</c:v>
                </c:pt>
                <c:pt idx="31">
                  <c:v>-1.2199928874242019</c:v>
                </c:pt>
                <c:pt idx="32">
                  <c:v>-1.0350766003626735</c:v>
                </c:pt>
                <c:pt idx="33">
                  <c:v>-0.85799343713171805</c:v>
                </c:pt>
                <c:pt idx="34">
                  <c:v>-0.69208664750061077</c:v>
                </c:pt>
                <c:pt idx="35">
                  <c:v>-0.54135605218189775</c:v>
                </c:pt>
                <c:pt idx="36">
                  <c:v>-0.409927382124046</c:v>
                </c:pt>
                <c:pt idx="37">
                  <c:v>-0.30115934941750055</c:v>
                </c:pt>
                <c:pt idx="38">
                  <c:v>-0.21674727115473441</c:v>
                </c:pt>
                <c:pt idx="39">
                  <c:v>-0.15640073649844627</c:v>
                </c:pt>
                <c:pt idx="40">
                  <c:v>-0.1183935883213893</c:v>
                </c:pt>
                <c:pt idx="41">
                  <c:v>-0.10068563406240555</c:v>
                </c:pt>
                <c:pt idx="42">
                  <c:v>-0.10200736972938611</c:v>
                </c:pt>
                <c:pt idx="43">
                  <c:v>-0.12246137287865171</c:v>
                </c:pt>
                <c:pt idx="44">
                  <c:v>-0.16347553224423086</c:v>
                </c:pt>
                <c:pt idx="45">
                  <c:v>-0.2271184377848541</c:v>
                </c:pt>
                <c:pt idx="46">
                  <c:v>-0.31497557344837807</c:v>
                </c:pt>
                <c:pt idx="47">
                  <c:v>-0.4270723121140198</c:v>
                </c:pt>
                <c:pt idx="48">
                  <c:v>-0.56144152386088919</c:v>
                </c:pt>
                <c:pt idx="49">
                  <c:v>-0.71455680599452576</c:v>
                </c:pt>
                <c:pt idx="50">
                  <c:v>-0.88226246318059154</c:v>
                </c:pt>
                <c:pt idx="51">
                  <c:v>-1.0606285780612732</c:v>
                </c:pt>
                <c:pt idx="52">
                  <c:v>-1.2464233546453807</c:v>
                </c:pt>
                <c:pt idx="53">
                  <c:v>-1.4372236199290531</c:v>
                </c:pt>
                <c:pt idx="54">
                  <c:v>-1.6313201452910742</c:v>
                </c:pt>
                <c:pt idx="55">
                  <c:v>-1.8275545390794499</c:v>
                </c:pt>
                <c:pt idx="56">
                  <c:v>-2.0251617909258441</c:v>
                </c:pt>
                <c:pt idx="57">
                  <c:v>-2.2236450128896359</c:v>
                </c:pt>
                <c:pt idx="58">
                  <c:v>-2.4226848746889988</c:v>
                </c:pt>
                <c:pt idx="59">
                  <c:v>-2.6220775354543706</c:v>
                </c:pt>
                <c:pt idx="60">
                  <c:v>-2.8216934311689306</c:v>
                </c:pt>
                <c:pt idx="61">
                  <c:v>-3.0214504318794178</c:v>
                </c:pt>
                <c:pt idx="62">
                  <c:v>-3.2212965648833825</c:v>
                </c:pt>
                <c:pt idx="63">
                  <c:v>-3.4211989768539905</c:v>
                </c:pt>
                <c:pt idx="64">
                  <c:v>-3.6211369145070345</c:v>
                </c:pt>
                <c:pt idx="65">
                  <c:v>-3.821097273745695</c:v>
                </c:pt>
                <c:pt idx="66">
                  <c:v>-4.0210717825954498</c:v>
                </c:pt>
                <c:pt idx="67">
                  <c:v>-4.2210552202604488</c:v>
                </c:pt>
                <c:pt idx="68">
                  <c:v>-4.4210442920308255</c:v>
                </c:pt>
                <c:pt idx="69">
                  <c:v>-4.6210369188421483</c:v>
                </c:pt>
                <c:pt idx="70">
                  <c:v>-4.8210317887966765</c:v>
                </c:pt>
              </c:numCache>
            </c:numRef>
          </c:yVal>
          <c:smooth val="1"/>
        </c:ser>
        <c:ser>
          <c:idx val="2"/>
          <c:order val="2"/>
          <c:tx>
            <c:v>Alpha H2B</c:v>
          </c:tx>
          <c:spPr>
            <a:ln w="25400">
              <a:solidFill>
                <a:srgbClr val="008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Distribution!$AP$12:$AP$82</c:f>
              <c:numCache>
                <c:formatCode>0.000</c:formatCode>
                <c:ptCount val="71"/>
                <c:pt idx="0">
                  <c:v>-1.7571154842770881E-8</c:v>
                </c:pt>
                <c:pt idx="1">
                  <c:v>-2.7848403371309259E-8</c:v>
                </c:pt>
                <c:pt idx="2">
                  <c:v>-4.4136744092840103E-8</c:v>
                </c:pt>
                <c:pt idx="3">
                  <c:v>-6.9952023214108588E-8</c:v>
                </c:pt>
                <c:pt idx="4">
                  <c:v>-1.1086648037521479E-7</c:v>
                </c:pt>
                <c:pt idx="5">
                  <c:v>-1.7571151730414806E-7</c:v>
                </c:pt>
                <c:pt idx="6">
                  <c:v>-2.7848395577815682E-7</c:v>
                </c:pt>
                <c:pt idx="7">
                  <c:v>-4.4136724562375406E-7</c:v>
                </c:pt>
                <c:pt idx="8">
                  <c:v>-6.9951974196298876E-7</c:v>
                </c:pt>
                <c:pt idx="9">
                  <c:v>-1.1086635717957476E-6</c:v>
                </c:pt>
                <c:pt idx="10">
                  <c:v>-1.7571120788461959E-6</c:v>
                </c:pt>
                <c:pt idx="11">
                  <c:v>-2.7848317850027694E-6</c:v>
                </c:pt>
                <c:pt idx="12">
                  <c:v>-4.4136529324036126E-6</c:v>
                </c:pt>
                <c:pt idx="13">
                  <c:v>-6.9951483768534648E-6</c:v>
                </c:pt>
                <c:pt idx="14">
                  <c:v>-1.108651253037819E-5</c:v>
                </c:pt>
                <c:pt idx="15">
                  <c:v>-1.757081135834367E-5</c:v>
                </c:pt>
                <c:pt idx="16">
                  <c:v>-2.7847540609758863E-5</c:v>
                </c:pt>
                <c:pt idx="17">
                  <c:v>-4.4134577037678471E-5</c:v>
                </c:pt>
                <c:pt idx="18">
                  <c:v>-6.9946580058217277E-5</c:v>
                </c:pt>
                <c:pt idx="19">
                  <c:v>-1.1085280857685599E-4</c:v>
                </c:pt>
                <c:pt idx="20">
                  <c:v>-1.7567717869267972E-4</c:v>
                </c:pt>
                <c:pt idx="21">
                  <c:v>-2.7839771441476216E-4</c:v>
                </c:pt>
                <c:pt idx="22">
                  <c:v>-4.41150670419533E-4</c:v>
                </c:pt>
                <c:pt idx="23">
                  <c:v>-6.9897594140036013E-4</c:v>
                </c:pt>
                <c:pt idx="24">
                  <c:v>-1.107298449230237E-3</c:v>
                </c:pt>
                <c:pt idx="25">
                  <c:v>-1.7536863941804747E-3</c:v>
                </c:pt>
                <c:pt idx="26">
                  <c:v>-2.7762401458893949E-3</c:v>
                </c:pt>
                <c:pt idx="27">
                  <c:v>-4.3921243893931634E-3</c:v>
                </c:pt>
                <c:pt idx="28">
                  <c:v>-6.9412793599494807E-3</c:v>
                </c:pt>
                <c:pt idx="29">
                  <c:v>-1.0952019490505406E-2</c:v>
                </c:pt>
                <c:pt idx="30">
                  <c:v>-1.7236187151453204E-2</c:v>
                </c:pt>
                <c:pt idx="31">
                  <c:v>-2.7019425106887162E-2</c:v>
                </c:pt>
                <c:pt idx="32">
                  <c:v>-4.2101843247656152E-2</c:v>
                </c:pt>
                <c:pt idx="33">
                  <c:v>-6.5017385218997831E-2</c:v>
                </c:pt>
                <c:pt idx="34">
                  <c:v>-9.9109300790187912E-2</c:v>
                </c:pt>
                <c:pt idx="35">
                  <c:v>-0.1483774106737718</c:v>
                </c:pt>
                <c:pt idx="36">
                  <c:v>-0.21694744581821748</c:v>
                </c:pt>
                <c:pt idx="37">
                  <c:v>-0.30817811831396918</c:v>
                </c:pt>
                <c:pt idx="38">
                  <c:v>-0.42376474525350022</c:v>
                </c:pt>
                <c:pt idx="39">
                  <c:v>-0.56341691579950925</c:v>
                </c:pt>
                <c:pt idx="40">
                  <c:v>-0.72540847282474874</c:v>
                </c:pt>
                <c:pt idx="41">
                  <c:v>-0.90769922376806134</c:v>
                </c:pt>
                <c:pt idx="42">
                  <c:v>-1.109019664637338</c:v>
                </c:pt>
                <c:pt idx="43">
                  <c:v>-1.3294723729889</c:v>
                </c:pt>
                <c:pt idx="44">
                  <c:v>-1.5704852375567755</c:v>
                </c:pt>
                <c:pt idx="45">
                  <c:v>-1.8341268482996949</c:v>
                </c:pt>
                <c:pt idx="46">
                  <c:v>-2.1219826891655154</c:v>
                </c:pt>
                <c:pt idx="47">
                  <c:v>-2.4340781330334536</c:v>
                </c:pt>
                <c:pt idx="48">
                  <c:v>-2.7684460499826193</c:v>
                </c:pt>
                <c:pt idx="49">
                  <c:v>-3.1215600373185519</c:v>
                </c:pt>
                <c:pt idx="50">
                  <c:v>-3.4892643997069142</c:v>
                </c:pt>
                <c:pt idx="51">
                  <c:v>-3.8676292197898925</c:v>
                </c:pt>
                <c:pt idx="52">
                  <c:v>-4.2534227015762962</c:v>
                </c:pt>
                <c:pt idx="53">
                  <c:v>-4.6442216720622644</c:v>
                </c:pt>
                <c:pt idx="54">
                  <c:v>-5.0383169026265824</c:v>
                </c:pt>
                <c:pt idx="55">
                  <c:v>-5.4345500016172545</c:v>
                </c:pt>
                <c:pt idx="56">
                  <c:v>-5.8321559586659451</c:v>
                </c:pt>
                <c:pt idx="57">
                  <c:v>-6.2306378858320333</c:v>
                </c:pt>
                <c:pt idx="58">
                  <c:v>-6.6296764528336922</c:v>
                </c:pt>
                <c:pt idx="59">
                  <c:v>-7.0290678188013596</c:v>
                </c:pt>
                <c:pt idx="60">
                  <c:v>-7.428682419718216</c:v>
                </c:pt>
                <c:pt idx="61">
                  <c:v>-7.8284381256309983</c:v>
                </c:pt>
                <c:pt idx="62">
                  <c:v>-8.2282829638372608</c:v>
                </c:pt>
                <c:pt idx="63">
                  <c:v>-8.6281840810101667</c:v>
                </c:pt>
                <c:pt idx="64">
                  <c:v>-9.0281207238655057</c:v>
                </c:pt>
                <c:pt idx="65">
                  <c:v>-9.4280797883064622</c:v>
                </c:pt>
                <c:pt idx="66">
                  <c:v>-9.828053002358514</c:v>
                </c:pt>
                <c:pt idx="67">
                  <c:v>-10.228035145225808</c:v>
                </c:pt>
                <c:pt idx="68">
                  <c:v>-10.628022922198481</c:v>
                </c:pt>
                <c:pt idx="69">
                  <c:v>-11.028014254212101</c:v>
                </c:pt>
                <c:pt idx="70">
                  <c:v>-11.428007829368925</c:v>
                </c:pt>
              </c:numCache>
            </c:numRef>
          </c:yVal>
          <c:smooth val="1"/>
        </c:ser>
        <c:ser>
          <c:idx val="3"/>
          <c:order val="3"/>
          <c:tx>
            <c:v>Alpha H3B</c:v>
          </c:tx>
          <c:spPr>
            <a:ln w="25400">
              <a:solidFill>
                <a:srgbClr val="9933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Distribution!$AQ$12:$AQ$82</c:f>
              <c:numCache>
                <c:formatCode>0.000</c:formatCode>
                <c:ptCount val="71"/>
              </c:numCache>
            </c:numRef>
          </c:yVal>
          <c:smooth val="1"/>
        </c:ser>
        <c:ser>
          <c:idx val="4"/>
          <c:order val="4"/>
          <c:tx>
            <c:v>Alpha H4B</c:v>
          </c:tx>
          <c:spPr>
            <a:ln w="25400">
              <a:solidFill>
                <a:srgbClr val="00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Distribution!$AR$12:$AR$82</c:f>
              <c:numCache>
                <c:formatCode>0.000</c:formatCode>
                <c:ptCount val="71"/>
              </c:numCache>
            </c:numRef>
          </c:yVal>
          <c:smooth val="1"/>
        </c:ser>
        <c:ser>
          <c:idx val="5"/>
          <c:order val="5"/>
          <c:tx>
            <c:v>Alpha H5B</c:v>
          </c:tx>
          <c:spPr>
            <a:ln w="25400">
              <a:solidFill>
                <a:srgbClr val="FF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Distribution!$AS$12:$AS$82</c:f>
              <c:numCache>
                <c:formatCode>0.000</c:formatCode>
                <c:ptCount val="71"/>
              </c:numCache>
            </c:numRef>
          </c:yVal>
          <c:smooth val="1"/>
        </c:ser>
        <c:ser>
          <c:idx val="6"/>
          <c:order val="6"/>
          <c:tx>
            <c:v>Alpha H6B</c:v>
          </c:tx>
          <c:spPr>
            <a:ln w="25400">
              <a:solidFill>
                <a:srgbClr val="00808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Distribution!$AT$12:$AT$82</c:f>
              <c:numCache>
                <c:formatCode>0.000</c:formatCode>
                <c:ptCount val="71"/>
              </c:numCache>
            </c:numRef>
          </c:yVal>
          <c:smooth val="1"/>
        </c:ser>
        <c:axId val="267160576"/>
        <c:axId val="267293824"/>
      </c:scatterChart>
      <c:valAx>
        <c:axId val="267160576"/>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678160327998232"/>
              <c:y val="0.92178837803585911"/>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67293824"/>
        <c:crossesAt val="-10"/>
        <c:crossBetween val="midCat"/>
        <c:majorUnit val="1"/>
      </c:valAx>
      <c:valAx>
        <c:axId val="267293824"/>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5700169831731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6716057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1298709708530523"/>
          <c:y val="1.3123359580052497E-2"/>
        </c:manualLayout>
      </c:layout>
      <c:spPr>
        <a:noFill/>
        <a:ln w="25400">
          <a:noFill/>
        </a:ln>
      </c:spPr>
    </c:title>
    <c:plotArea>
      <c:layout>
        <c:manualLayout>
          <c:layoutTarget val="inner"/>
          <c:xMode val="edge"/>
          <c:yMode val="edge"/>
          <c:x val="0.11038961038961038"/>
          <c:y val="9.7113109808454459E-2"/>
          <c:w val="0.82240372070700807"/>
          <c:h val="0.75590744931986475"/>
        </c:manualLayout>
      </c:layout>
      <c:scatterChart>
        <c:scatterStyle val="smoothMarker"/>
        <c:ser>
          <c:idx val="1"/>
          <c:order val="0"/>
          <c:tx>
            <c:v>log 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Distribution!$AY$12:$AY$114</c:f>
              <c:numCache>
                <c:formatCode>0.000</c:formatCode>
                <c:ptCount val="103"/>
                <c:pt idx="0">
                  <c:v>-5.5758389606542913</c:v>
                </c:pt>
                <c:pt idx="1">
                  <c:v>-5.3609005234578753</c:v>
                </c:pt>
                <c:pt idx="2">
                  <c:v>-5.1468113426133852</c:v>
                </c:pt>
                <c:pt idx="3">
                  <c:v>-4.9336705626449531</c:v>
                </c:pt>
                <c:pt idx="4">
                  <c:v>-4.721374771010125</c:v>
                </c:pt>
                <c:pt idx="5">
                  <c:v>-4.5097354417452227</c:v>
                </c:pt>
                <c:pt idx="6">
                  <c:v>-4.2985645520482114</c:v>
                </c:pt>
                <c:pt idx="7">
                  <c:v>-4.0877115287475503</c:v>
                </c:pt>
                <c:pt idx="8">
                  <c:v>-3.8770691954549958</c:v>
                </c:pt>
                <c:pt idx="9">
                  <c:v>-3.6665672432479832</c:v>
                </c:pt>
                <c:pt idx="10">
                  <c:v>-3.4561635208600321</c:v>
                </c:pt>
                <c:pt idx="11">
                  <c:v>-3.2458372547784959</c:v>
                </c:pt>
                <c:pt idx="12">
                  <c:v>-3.0355854075499349</c:v>
                </c:pt>
                <c:pt idx="13">
                  <c:v>-2.825422520105604</c:v>
                </c:pt>
                <c:pt idx="14">
                  <c:v>-2.6153845439288168</c:v>
                </c:pt>
                <c:pt idx="15">
                  <c:v>-2.4055379224823699</c:v>
                </c:pt>
                <c:pt idx="16">
                  <c:v>-2.1959965429138273</c:v>
                </c:pt>
                <c:pt idx="17">
                  <c:v>-1.9869515226204757</c:v>
                </c:pt>
                <c:pt idx="18">
                  <c:v>-1.7787228620485298</c:v>
                </c:pt>
                <c:pt idx="19">
                  <c:v>-1.5718486648401551</c:v>
                </c:pt>
                <c:pt idx="20">
                  <c:v>-1.3672361552312422</c:v>
                </c:pt>
                <c:pt idx="21">
                  <c:v>-1.1664000713596978</c:v>
                </c:pt>
                <c:pt idx="22">
                  <c:v>-0.97177787139399385</c:v>
                </c:pt>
                <c:pt idx="23">
                  <c:v>-0.78699486092544646</c:v>
                </c:pt>
                <c:pt idx="24">
                  <c:v>-0.61680278780168163</c:v>
                </c:pt>
                <c:pt idx="25">
                  <c:v>-0.4664499157531381</c:v>
                </c:pt>
                <c:pt idx="26">
                  <c:v>-0.34054527560998299</c:v>
                </c:pt>
                <c:pt idx="27">
                  <c:v>-0.24183477001021603</c:v>
                </c:pt>
                <c:pt idx="28">
                  <c:v>-0.17055483941436919</c:v>
                </c:pt>
                <c:pt idx="29">
                  <c:v>-0.12487985468042009</c:v>
                </c:pt>
                <c:pt idx="30">
                  <c:v>-0.1022688443841005</c:v>
                </c:pt>
                <c:pt idx="31">
                  <c:v>-0.10092874950451211</c:v>
                </c:pt>
                <c:pt idx="32">
                  <c:v>-0.12070617947372345</c:v>
                </c:pt>
                <c:pt idx="33">
                  <c:v>-0.16312436107644887</c:v>
                </c:pt>
                <c:pt idx="34">
                  <c:v>-0.2305585005397936</c:v>
                </c:pt>
                <c:pt idx="35">
                  <c:v>-0.32480888944256592</c:v>
                </c:pt>
                <c:pt idx="36">
                  <c:v>-0.44574161273278612</c:v>
                </c:pt>
                <c:pt idx="37">
                  <c:v>-0.5908174420792216</c:v>
                </c:pt>
                <c:pt idx="38">
                  <c:v>-0.75575311965067049</c:v>
                </c:pt>
                <c:pt idx="39">
                  <c:v>-0.93573464100654324</c:v>
                </c:pt>
                <c:pt idx="40">
                  <c:v>-1.1264195718161112</c:v>
                </c:pt>
                <c:pt idx="41">
                  <c:v>-1.3244066112298143</c:v>
                </c:pt>
                <c:pt idx="42">
                  <c:v>-1.5272745387089137</c:v>
                </c:pt>
                <c:pt idx="43">
                  <c:v>-1.7334096482902823</c:v>
                </c:pt>
                <c:pt idx="44">
                  <c:v>-1.9417727967398257</c:v>
                </c:pt>
                <c:pt idx="45">
                  <c:v>-2.1516695549946214</c:v>
                </c:pt>
                <c:pt idx="46">
                  <c:v>-2.3625540227040953</c:v>
                </c:pt>
                <c:pt idx="47">
                  <c:v>-2.5739179276083339</c:v>
                </c:pt>
                <c:pt idx="48">
                  <c:v>-2.7853053490506752</c:v>
                </c:pt>
                <c:pt idx="49">
                  <c:v>-2.9963839761153048</c:v>
                </c:pt>
                <c:pt idx="50">
                  <c:v>-3.2069493618077791</c:v>
                </c:pt>
              </c:numCache>
            </c:numRef>
          </c:yVal>
          <c:smooth val="1"/>
        </c:ser>
        <c:ser>
          <c:idx val="0"/>
          <c:order val="1"/>
          <c:tx>
            <c:v>log alfa 0</c:v>
          </c:tx>
          <c:spPr>
            <a:ln w="25400">
              <a:solidFill>
                <a:srgbClr val="FF0000"/>
              </a:solidFill>
              <a:prstDash val="solid"/>
            </a:ln>
          </c:spPr>
          <c:marker>
            <c:symbol val="square"/>
            <c:size val="3"/>
            <c:spPr>
              <a:noFill/>
              <a:ln w="9525">
                <a:solidFill>
                  <a:srgbClr val="0000FF"/>
                </a:solidFill>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Distribution!$AX$12:$AX$114</c:f>
              <c:numCache>
                <c:formatCode>0.000</c:formatCode>
                <c:ptCount val="103"/>
                <c:pt idx="0">
                  <c:v>-12.937627577129943</c:v>
                </c:pt>
                <c:pt idx="1">
                  <c:v>-12.507749964265345</c:v>
                </c:pt>
                <c:pt idx="2">
                  <c:v>-12.079570397274262</c:v>
                </c:pt>
                <c:pt idx="3">
                  <c:v>-11.653286875120438</c:v>
                </c:pt>
                <c:pt idx="4">
                  <c:v>-11.228692102444612</c:v>
                </c:pt>
                <c:pt idx="5">
                  <c:v>-10.805408264132828</c:v>
                </c:pt>
                <c:pt idx="6">
                  <c:v>-10.383058075751038</c:v>
                </c:pt>
                <c:pt idx="7">
                  <c:v>-9.9613383801320339</c:v>
                </c:pt>
                <c:pt idx="8">
                  <c:v>-9.5400315608674617</c:v>
                </c:pt>
                <c:pt idx="9">
                  <c:v>-9.1189917034981267</c:v>
                </c:pt>
                <c:pt idx="10">
                  <c:v>-8.6981259100698942</c:v>
                </c:pt>
                <c:pt idx="11">
                  <c:v>-8.2773786859281433</c:v>
                </c:pt>
                <c:pt idx="12">
                  <c:v>-7.8567213263950872</c:v>
                </c:pt>
                <c:pt idx="13">
                  <c:v>-7.4361462042185655</c:v>
                </c:pt>
                <c:pt idx="14">
                  <c:v>-7.0156656937612158</c:v>
                </c:pt>
                <c:pt idx="15">
                  <c:v>-6.5953162015371403</c:v>
                </c:pt>
                <c:pt idx="16">
                  <c:v>-6.1751692789215467</c:v>
                </c:pt>
                <c:pt idx="17">
                  <c:v>-5.7553546178009993</c:v>
                </c:pt>
                <c:pt idx="18">
                  <c:v>-5.3361051816174134</c:v>
                </c:pt>
                <c:pt idx="19">
                  <c:v>-4.9178447486171528</c:v>
                </c:pt>
                <c:pt idx="20">
                  <c:v>-4.5013529063142128</c:v>
                </c:pt>
                <c:pt idx="21">
                  <c:v>-4.0880498527720688</c:v>
                </c:pt>
                <c:pt idx="22">
                  <c:v>-3.6803965716934988</c:v>
                </c:pt>
                <c:pt idx="23">
                  <c:v>-3.282237019777162</c:v>
                </c:pt>
                <c:pt idx="24">
                  <c:v>-2.898701112514396</c:v>
                </c:pt>
                <c:pt idx="25">
                  <c:v>-2.5353996094013396</c:v>
                </c:pt>
                <c:pt idx="26">
                  <c:v>-2.1971277149365323</c:v>
                </c:pt>
                <c:pt idx="27">
                  <c:v>-1.8866289978582056</c:v>
                </c:pt>
                <c:pt idx="28">
                  <c:v>-1.6040344387673935</c:v>
                </c:pt>
                <c:pt idx="29">
                  <c:v>-1.3473905508480222</c:v>
                </c:pt>
                <c:pt idx="30">
                  <c:v>-1.1140463720210931</c:v>
                </c:pt>
                <c:pt idx="31">
                  <c:v>-0.90212705935289883</c:v>
                </c:pt>
                <c:pt idx="32">
                  <c:v>-0.71142266947571497</c:v>
                </c:pt>
                <c:pt idx="33">
                  <c:v>-0.54341855629230662</c:v>
                </c:pt>
                <c:pt idx="34">
                  <c:v>-0.40046449183050703</c:v>
                </c:pt>
                <c:pt idx="35">
                  <c:v>-0.2843428083844079</c:v>
                </c:pt>
                <c:pt idx="36">
                  <c:v>-0.19490527268471336</c:v>
                </c:pt>
                <c:pt idx="37">
                  <c:v>-0.12959880274399216</c:v>
                </c:pt>
                <c:pt idx="38">
                  <c:v>-8.4123716099591059E-2</c:v>
                </c:pt>
                <c:pt idx="39">
                  <c:v>-5.3643661927008771E-2</c:v>
                </c:pt>
                <c:pt idx="40">
                  <c:v>-3.378401224579098E-2</c:v>
                </c:pt>
                <c:pt idx="41">
                  <c:v>-2.1097245284582896E-2</c:v>
                </c:pt>
                <c:pt idx="42">
                  <c:v>-1.3099292313984932E-2</c:v>
                </c:pt>
                <c:pt idx="43">
                  <c:v>-8.1010003867847107E-3</c:v>
                </c:pt>
                <c:pt idx="44">
                  <c:v>-4.9954394137741954E-3</c:v>
                </c:pt>
                <c:pt idx="45">
                  <c:v>-3.0738632139714751E-3</c:v>
                </c:pt>
                <c:pt idx="46">
                  <c:v>-1.8888054685757697E-3</c:v>
                </c:pt>
                <c:pt idx="47">
                  <c:v>-1.1599673875907599E-3</c:v>
                </c:pt>
                <c:pt idx="48">
                  <c:v>-7.1256753121106135E-4</c:v>
                </c:pt>
                <c:pt idx="49">
                  <c:v>-4.3813136950278928E-4</c:v>
                </c:pt>
                <c:pt idx="50">
                  <c:v>-2.6974329511845216E-4</c:v>
                </c:pt>
              </c:numCache>
            </c:numRef>
          </c:yVal>
          <c:smooth val="1"/>
        </c:ser>
        <c:ser>
          <c:idx val="2"/>
          <c:order val="2"/>
          <c:tx>
            <c:v>log alfa 2</c:v>
          </c:tx>
          <c:spPr>
            <a:ln w="25400">
              <a:solidFill>
                <a:srgbClr val="008000"/>
              </a:solidFill>
              <a:prstDash val="solid"/>
            </a:ln>
          </c:spPr>
          <c:marker>
            <c:symbol val="square"/>
            <c:size val="3"/>
            <c:spPr>
              <a:noFill/>
              <a:ln>
                <a:solidFill>
                  <a:srgbClr val="008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Distribution!$AZ$12:$AZ$114</c:f>
              <c:numCache>
                <c:formatCode>0.000</c:formatCode>
                <c:ptCount val="103"/>
                <c:pt idx="0">
                  <c:v>-1.1532063798481925E-6</c:v>
                </c:pt>
                <c:pt idx="1">
                  <c:v>-1.8916781450760598E-6</c:v>
                </c:pt>
                <c:pt idx="2">
                  <c:v>-3.0969802489315983E-6</c:v>
                </c:pt>
                <c:pt idx="3">
                  <c:v>-5.0591972097025132E-6</c:v>
                </c:pt>
                <c:pt idx="4">
                  <c:v>-8.2486033779969544E-6</c:v>
                </c:pt>
                <c:pt idx="5">
                  <c:v>-1.3428385357481521E-5</c:v>
                </c:pt>
                <c:pt idx="6">
                  <c:v>-2.1837373126464911E-5</c:v>
                </c:pt>
                <c:pt idx="7">
                  <c:v>-3.5486390807319251E-5</c:v>
                </c:pt>
                <c:pt idx="8">
                  <c:v>-5.7639070271576998E-5</c:v>
                </c:pt>
                <c:pt idx="9">
                  <c:v>-9.3592025579728393E-5</c:v>
                </c:pt>
                <c:pt idx="10">
                  <c:v>-1.5194067791134467E-4</c:v>
                </c:pt>
                <c:pt idx="11">
                  <c:v>-2.4663265658904002E-4</c:v>
                </c:pt>
                <c:pt idx="12">
                  <c:v>-4.00297732523704E-4</c:v>
                </c:pt>
                <c:pt idx="13">
                  <c:v>-6.496450203835215E-4</c:v>
                </c:pt>
                <c:pt idx="14">
                  <c:v>-1.0542031241593888E-3</c:v>
                </c:pt>
                <c:pt idx="15">
                  <c:v>-1.7104524553398887E-3</c:v>
                </c:pt>
                <c:pt idx="16">
                  <c:v>-2.7746159338485096E-3</c:v>
                </c:pt>
                <c:pt idx="17">
                  <c:v>-4.4992364676921482E-3</c:v>
                </c:pt>
                <c:pt idx="18">
                  <c:v>-7.2913515073857304E-3</c:v>
                </c:pt>
                <c:pt idx="19">
                  <c:v>-1.1803390090897682E-2</c:v>
                </c:pt>
                <c:pt idx="20">
                  <c:v>-1.9070213176012474E-2</c:v>
                </c:pt>
                <c:pt idx="21">
                  <c:v>-3.0701098975066614E-2</c:v>
                </c:pt>
                <c:pt idx="22">
                  <c:v>-4.9109980122229141E-2</c:v>
                </c:pt>
                <c:pt idx="23">
                  <c:v>-7.7703511101471362E-2</c:v>
                </c:pt>
                <c:pt idx="24">
                  <c:v>-0.12085527211670775</c:v>
                </c:pt>
                <c:pt idx="25">
                  <c:v>-0.18345103113267708</c:v>
                </c:pt>
                <c:pt idx="26">
                  <c:v>-0.26991364531117384</c:v>
                </c:pt>
                <c:pt idx="27">
                  <c:v>-0.38299135118996691</c:v>
                </c:pt>
                <c:pt idx="28">
                  <c:v>-0.52302604908908557</c:v>
                </c:pt>
                <c:pt idx="29">
                  <c:v>-0.68831996754055846</c:v>
                </c:pt>
                <c:pt idx="30">
                  <c:v>-0.87644212577484815</c:v>
                </c:pt>
                <c:pt idx="31">
                  <c:v>-1.0856812486838658</c:v>
                </c:pt>
                <c:pt idx="32">
                  <c:v>-1.3159404984994725</c:v>
                </c:pt>
                <c:pt idx="33">
                  <c:v>-1.5687809748883317</c:v>
                </c:pt>
                <c:pt idx="34">
                  <c:v>-1.8466033182768204</c:v>
                </c:pt>
                <c:pt idx="35">
                  <c:v>-2.1512257795284646</c:v>
                </c:pt>
                <c:pt idx="36">
                  <c:v>-2.4825287618085992</c:v>
                </c:pt>
                <c:pt idx="37">
                  <c:v>-2.8379868904421914</c:v>
                </c:pt>
                <c:pt idx="38">
                  <c:v>-3.2133333322294901</c:v>
                </c:pt>
                <c:pt idx="39">
                  <c:v>-3.6037764291138181</c:v>
                </c:pt>
                <c:pt idx="40">
                  <c:v>-4.005005940414172</c:v>
                </c:pt>
                <c:pt idx="41">
                  <c:v>-4.4136667862027865</c:v>
                </c:pt>
                <c:pt idx="42">
                  <c:v>-4.827400594131583</c:v>
                </c:pt>
                <c:pt idx="43">
                  <c:v>-5.2446691052215204</c:v>
                </c:pt>
                <c:pt idx="44">
                  <c:v>-5.6645009630936176</c:v>
                </c:pt>
                <c:pt idx="45">
                  <c:v>-6.0862160558030123</c:v>
                </c:pt>
                <c:pt idx="46">
                  <c:v>-6.5091700489673556</c:v>
                </c:pt>
                <c:pt idx="47">
                  <c:v>-6.9326266968568184</c:v>
                </c:pt>
                <c:pt idx="48">
                  <c:v>-7.3558489395978803</c:v>
                </c:pt>
                <c:pt idx="49">
                  <c:v>-7.7782806298888474</c:v>
                </c:pt>
                <c:pt idx="50">
                  <c:v>-8.1995797893481797</c:v>
                </c:pt>
              </c:numCache>
            </c:numRef>
          </c:yVal>
          <c:smooth val="1"/>
        </c:ser>
        <c:ser>
          <c:idx val="3"/>
          <c:order val="3"/>
          <c:tx>
            <c:v>log alfa 3</c:v>
          </c:tx>
          <c:spPr>
            <a:ln w="25400">
              <a:solidFill>
                <a:srgbClr val="993300"/>
              </a:solidFill>
              <a:prstDash val="solid"/>
            </a:ln>
          </c:spPr>
          <c:marker>
            <c:symbol val="square"/>
            <c:size val="3"/>
            <c:spPr>
              <a:noFill/>
              <a:ln>
                <a:solidFill>
                  <a:srgbClr val="9933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Distribution!$BA$12:$BA$114</c:f>
              <c:numCache>
                <c:formatCode>0.000</c:formatCode>
                <c:ptCount val="103"/>
              </c:numCache>
            </c:numRef>
          </c:yVal>
          <c:smooth val="1"/>
        </c:ser>
        <c:ser>
          <c:idx val="4"/>
          <c:order val="4"/>
          <c:tx>
            <c:v>log alfa 4</c:v>
          </c:tx>
          <c:spPr>
            <a:ln w="25400">
              <a:solidFill>
                <a:srgbClr val="0000FF"/>
              </a:solidFill>
              <a:prstDash val="solid"/>
            </a:ln>
          </c:spPr>
          <c:marker>
            <c:symbol val="square"/>
            <c:size val="3"/>
            <c:spPr>
              <a:noFill/>
              <a:ln>
                <a:solidFill>
                  <a:srgbClr val="800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Distribution!$BB$12:$BB$114</c:f>
              <c:numCache>
                <c:formatCode>0.000</c:formatCode>
                <c:ptCount val="103"/>
              </c:numCache>
            </c:numRef>
          </c:yVal>
          <c:smooth val="1"/>
        </c:ser>
        <c:ser>
          <c:idx val="5"/>
          <c:order val="5"/>
          <c:tx>
            <c:v>log alfa 5</c:v>
          </c:tx>
          <c:spPr>
            <a:ln w="25400">
              <a:solidFill>
                <a:srgbClr val="FF00FF"/>
              </a:solidFill>
              <a:prstDash val="solid"/>
            </a:ln>
          </c:spPr>
          <c:marker>
            <c:symbol val="square"/>
            <c:size val="3"/>
            <c:spPr>
              <a:noFill/>
              <a:ln>
                <a:solidFill>
                  <a:srgbClr val="8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Distribution!$BC$12:$BC$114</c:f>
              <c:numCache>
                <c:formatCode>0.000</c:formatCode>
                <c:ptCount val="103"/>
              </c:numCache>
            </c:numRef>
          </c:yVal>
          <c:smooth val="1"/>
        </c:ser>
        <c:ser>
          <c:idx val="6"/>
          <c:order val="6"/>
          <c:tx>
            <c:v>log alfa 6</c:v>
          </c:tx>
          <c:spPr>
            <a:ln w="25400">
              <a:solidFill>
                <a:srgbClr val="008080"/>
              </a:solidFill>
              <a:prstDash val="solid"/>
            </a:ln>
          </c:spPr>
          <c:marker>
            <c:symbol val="square"/>
            <c:size val="5"/>
            <c:spPr>
              <a:noFill/>
              <a:ln>
                <a:solidFill>
                  <a:srgbClr val="008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Distribution!$BD$12:$BD$114</c:f>
              <c:numCache>
                <c:formatCode>0.000</c:formatCode>
                <c:ptCount val="103"/>
              </c:numCache>
            </c:numRef>
          </c:yVal>
          <c:smooth val="1"/>
        </c:ser>
        <c:axId val="267763712"/>
        <c:axId val="267766016"/>
      </c:scatterChart>
      <c:scatterChart>
        <c:scatterStyle val="smoothMarker"/>
        <c:ser>
          <c:idx val="7"/>
          <c:order val="7"/>
          <c:spPr>
            <a:ln w="12700">
              <a:solidFill>
                <a:srgbClr val="002060"/>
              </a:solidFill>
              <a:prstDash val="sysDash"/>
            </a:ln>
          </c:spPr>
          <c:marker>
            <c:symbol val="circle"/>
            <c:size val="5"/>
            <c:spPr>
              <a:noFill/>
              <a:ln>
                <a:solidFill>
                  <a:srgbClr val="0000FF"/>
                </a:solidFill>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7768192"/>
        <c:axId val="267769728"/>
      </c:scatterChart>
      <c:valAx>
        <c:axId val="267763712"/>
        <c:scaling>
          <c:orientation val="minMax"/>
        </c:scaling>
        <c:axPos val="b"/>
        <c:majorGridlines/>
        <c:title>
          <c:tx>
            <c:rich>
              <a:bodyPr/>
              <a:lstStyle/>
              <a:p>
                <a:pPr>
                  <a:defRPr sz="1175" b="1" i="0" u="none" strike="noStrike" baseline="0">
                    <a:solidFill>
                      <a:srgbClr val="000000"/>
                    </a:solidFill>
                    <a:latin typeface="Arial"/>
                    <a:ea typeface="Arial"/>
                    <a:cs typeface="Arial"/>
                  </a:defRPr>
                </a:pPr>
                <a:r>
                  <a:rPr lang="pt-BR"/>
                  <a:t>Volume (mL)</a:t>
                </a:r>
              </a:p>
            </c:rich>
          </c:tx>
          <c:layout>
            <c:manualLayout>
              <c:xMode val="edge"/>
              <c:yMode val="edge"/>
              <c:x val="0.44044144088288184"/>
              <c:y val="0.93267709610177385"/>
            </c:manualLayout>
          </c:layout>
          <c:spPr>
            <a:noFill/>
            <a:ln w="25400">
              <a:noFill/>
            </a:ln>
          </c:spPr>
        </c:title>
        <c:numFmt formatCode="0.0" sourceLinked="0"/>
        <c:tickLblPos val="nextTo"/>
        <c:txPr>
          <a:bodyPr rot="0" vert="horz"/>
          <a:lstStyle/>
          <a:p>
            <a:pPr>
              <a:defRPr sz="1175" b="0" i="0" u="none" strike="noStrike" baseline="0">
                <a:solidFill>
                  <a:srgbClr val="000000"/>
                </a:solidFill>
                <a:latin typeface="Arial"/>
                <a:ea typeface="Arial"/>
                <a:cs typeface="Arial"/>
              </a:defRPr>
            </a:pPr>
            <a:endParaRPr lang="pl-PL"/>
          </a:p>
        </c:txPr>
        <c:crossAx val="267766016"/>
        <c:crossesAt val="-10"/>
        <c:crossBetween val="midCat"/>
      </c:valAx>
      <c:valAx>
        <c:axId val="267766016"/>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6899649354868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67763712"/>
        <c:crosses val="autoZero"/>
        <c:crossBetween val="midCat"/>
      </c:valAx>
      <c:valAx>
        <c:axId val="267768192"/>
        <c:scaling>
          <c:orientation val="minMax"/>
        </c:scaling>
        <c:delete val="1"/>
        <c:axPos val="b"/>
        <c:numFmt formatCode="0.000" sourceLinked="1"/>
        <c:tickLblPos val="none"/>
        <c:crossAx val="267769728"/>
        <c:crosses val="autoZero"/>
        <c:crossBetween val="midCat"/>
      </c:valAx>
      <c:valAx>
        <c:axId val="267769728"/>
        <c:scaling>
          <c:orientation val="minMax"/>
        </c:scaling>
        <c:axPos val="r"/>
        <c:numFmt formatCode="0" sourceLinked="0"/>
        <c:tickLblPos val="nextTo"/>
        <c:crossAx val="267768192"/>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03" footer="0.492125985000012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a:t>
            </a:r>
          </a:p>
        </c:rich>
      </c:tx>
      <c:layout>
        <c:manualLayout>
          <c:xMode val="edge"/>
          <c:yMode val="edge"/>
          <c:x val="9.288319352237831E-2"/>
          <c:y val="1.3054650891151695E-2"/>
        </c:manualLayout>
      </c:layout>
      <c:spPr>
        <a:noFill/>
        <a:ln w="25400">
          <a:noFill/>
        </a:ln>
      </c:spPr>
    </c:title>
    <c:plotArea>
      <c:layout>
        <c:manualLayout>
          <c:layoutTarget val="inner"/>
          <c:xMode val="edge"/>
          <c:yMode val="edge"/>
          <c:x val="8.6837098275946267E-2"/>
          <c:y val="8.3550913838120244E-2"/>
          <c:w val="0.8823548462129065"/>
          <c:h val="0.76834824322610884"/>
        </c:manualLayout>
      </c:layout>
      <c:scatterChart>
        <c:scatterStyle val="smoothMarker"/>
        <c:ser>
          <c:idx val="0"/>
          <c:order val="0"/>
          <c:tx>
            <c:v>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Distribution!$X$12:$X$135</c:f>
              <c:numCache>
                <c:formatCode>0.000</c:formatCode>
                <c:ptCount val="124"/>
                <c:pt idx="0">
                  <c:v>2.9460310196535806</c:v>
                </c:pt>
                <c:pt idx="1">
                  <c:v>1.8588199133604402</c:v>
                </c:pt>
                <c:pt idx="2">
                  <c:v>1.1728360834433429</c:v>
                </c:pt>
                <c:pt idx="3">
                  <c:v>0.74000955188162976</c:v>
                </c:pt>
                <c:pt idx="4">
                  <c:v>0.46691447943525799</c:v>
                </c:pt>
                <c:pt idx="5">
                  <c:v>0.29460314808064725</c:v>
                </c:pt>
                <c:pt idx="6">
                  <c:v>0.18588206442381816</c:v>
                </c:pt>
                <c:pt idx="7">
                  <c:v>0.11728372418056521</c:v>
                </c:pt>
                <c:pt idx="8">
                  <c:v>7.4001138776003686E-2</c:v>
                </c:pt>
                <c:pt idx="9">
                  <c:v>4.6691738910109637E-2</c:v>
                </c:pt>
                <c:pt idx="10">
                  <c:v>2.9460775957678546E-2</c:v>
                </c:pt>
                <c:pt idx="11">
                  <c:v>1.8588937311889202E-2</c:v>
                </c:pt>
                <c:pt idx="12">
                  <c:v>1.1729530759682654E-2</c:v>
                </c:pt>
                <c:pt idx="13">
                  <c:v>7.4019497040559426E-3</c:v>
                </c:pt>
                <c:pt idx="14">
                  <c:v>4.6720834263553881E-3</c:v>
                </c:pt>
                <c:pt idx="15">
                  <c:v>2.9506887641283903E-3</c:v>
                </c:pt>
                <c:pt idx="16">
                  <c:v>1.8662016029543519E-3</c:v>
                </c:pt>
                <c:pt idx="17">
                  <c:v>1.1845344242984287E-3</c:v>
                </c:pt>
                <c:pt idx="18">
                  <c:v>7.5854804105436461E-4</c:v>
                </c:pt>
                <c:pt idx="19">
                  <c:v>4.9629065157025633E-4</c:v>
                </c:pt>
                <c:pt idx="20">
                  <c:v>3.411478016310438E-4</c:v>
                </c:pt>
                <c:pt idx="21">
                  <c:v>2.5961662419253767E-4</c:v>
                </c:pt>
                <c:pt idx="22">
                  <c:v>2.3406043929943344E-4</c:v>
                </c:pt>
                <c:pt idx="23">
                  <c:v>2.5886733976578731E-4</c:v>
                </c:pt>
                <c:pt idx="24">
                  <c:v>3.3915255330263592E-4</c:v>
                </c:pt>
                <c:pt idx="25">
                  <c:v>4.9164745907440718E-4</c:v>
                </c:pt>
                <c:pt idx="26">
                  <c:v>7.4777736049336664E-4</c:v>
                </c:pt>
                <c:pt idx="27">
                  <c:v>1.1591300193220964E-3</c:v>
                </c:pt>
                <c:pt idx="28">
                  <c:v>1.8053896370603213E-3</c:v>
                </c:pt>
                <c:pt idx="29">
                  <c:v>2.8038824985810082E-3</c:v>
                </c:pt>
                <c:pt idx="30">
                  <c:v>4.3171267192820186E-3</c:v>
                </c:pt>
                <c:pt idx="31">
                  <c:v>6.5485221619181683E-3</c:v>
                </c:pt>
                <c:pt idx="32">
                  <c:v>9.7053743010358691E-3</c:v>
                </c:pt>
                <c:pt idx="33">
                  <c:v>1.389752257922409E-2</c:v>
                </c:pt>
                <c:pt idx="34">
                  <c:v>1.8952096564600462E-2</c:v>
                </c:pt>
                <c:pt idx="35">
                  <c:v>2.4207449495605625E-2</c:v>
                </c:pt>
                <c:pt idx="36">
                  <c:v>2.8508762781720431E-2</c:v>
                </c:pt>
                <c:pt idx="37">
                  <c:v>3.0666850693041085E-2</c:v>
                </c:pt>
                <c:pt idx="38">
                  <c:v>3.0241835356715201E-2</c:v>
                </c:pt>
                <c:pt idx="39">
                  <c:v>2.7958131039524804E-2</c:v>
                </c:pt>
                <c:pt idx="40">
                  <c:v>2.5289591026081599E-2</c:v>
                </c:pt>
                <c:pt idx="41">
                  <c:v>2.3639907334497719E-2</c:v>
                </c:pt>
                <c:pt idx="42">
                  <c:v>2.3775842857286345E-2</c:v>
                </c:pt>
                <c:pt idx="43">
                  <c:v>2.5638728554327986E-2</c:v>
                </c:pt>
                <c:pt idx="44">
                  <c:v>2.8355542444628973E-2</c:v>
                </c:pt>
                <c:pt idx="45">
                  <c:v>3.047028837181652E-2</c:v>
                </c:pt>
                <c:pt idx="46">
                  <c:v>3.0568150094177304E-2</c:v>
                </c:pt>
                <c:pt idx="47">
                  <c:v>2.8085260306165132E-2</c:v>
                </c:pt>
                <c:pt idx="48">
                  <c:v>2.3614680115898717E-2</c:v>
                </c:pt>
                <c:pt idx="49">
                  <c:v>1.8395702406373473E-2</c:v>
                </c:pt>
                <c:pt idx="50">
                  <c:v>1.3544379715458937E-2</c:v>
                </c:pt>
                <c:pt idx="51">
                  <c:v>9.6691139641726272E-3</c:v>
                </c:pt>
                <c:pt idx="52">
                  <c:v>6.9269207606676309E-3</c:v>
                </c:pt>
                <c:pt idx="53">
                  <c:v>5.2441497243174524E-3</c:v>
                </c:pt>
                <c:pt idx="54">
                  <c:v>4.5035936384178014E-3</c:v>
                </c:pt>
                <c:pt idx="55">
                  <c:v>4.6551149145377087E-3</c:v>
                </c:pt>
                <c:pt idx="56">
                  <c:v>5.7783877549813702E-3</c:v>
                </c:pt>
                <c:pt idx="57">
                  <c:v>8.1354552223827769E-3</c:v>
                </c:pt>
                <c:pt idx="58">
                  <c:v>1.2243120574971497E-2</c:v>
                </c:pt>
                <c:pt idx="59">
                  <c:v>1.8991282017710717E-2</c:v>
                </c:pt>
                <c:pt idx="60">
                  <c:v>2.9837845580748253E-2</c:v>
                </c:pt>
                <c:pt idx="61">
                  <c:v>4.7124573953072506E-2</c:v>
                </c:pt>
                <c:pt idx="62">
                  <c:v>7.458302717429556E-2</c:v>
                </c:pt>
                <c:pt idx="63">
                  <c:v>0.1181402111417403</c:v>
                </c:pt>
                <c:pt idx="64">
                  <c:v>0.18719800091645253</c:v>
                </c:pt>
                <c:pt idx="65">
                  <c:v>0.2966625708592312</c:v>
                </c:pt>
                <c:pt idx="66">
                  <c:v>0.470161912490136</c:v>
                </c:pt>
                <c:pt idx="67">
                  <c:v>0.74514595397882899</c:v>
                </c:pt>
                <c:pt idx="68">
                  <c:v>1.1809701491750404</c:v>
                </c:pt>
                <c:pt idx="69">
                  <c:v>1.8717073849599926</c:v>
                </c:pt>
                <c:pt idx="70">
                  <c:v>2.9664536646970432</c:v>
                </c:pt>
              </c:numCache>
            </c:numRef>
          </c:yVal>
          <c:smooth val="1"/>
        </c:ser>
        <c:axId val="267204096"/>
        <c:axId val="267206016"/>
      </c:scatterChart>
      <c:valAx>
        <c:axId val="267204096"/>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295777163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206016"/>
        <c:crosses val="autoZero"/>
        <c:crossBetween val="midCat"/>
        <c:majorUnit val="1"/>
        <c:minorUnit val="1"/>
      </c:valAx>
      <c:valAx>
        <c:axId val="267206016"/>
        <c:scaling>
          <c:orientation val="minMax"/>
          <c:max val="0.5"/>
          <c:min val="-1.0000000000000005E-2"/>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buffer capacity</a:t>
                </a:r>
              </a:p>
            </c:rich>
          </c:tx>
          <c:layout>
            <c:manualLayout>
              <c:xMode val="edge"/>
              <c:yMode val="edge"/>
              <c:x val="7.2358602233544393E-3"/>
              <c:y val="0.3765288370367318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20409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paperSize="9" orientation="landscape"/>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 along a titration</a:t>
            </a:r>
          </a:p>
        </c:rich>
      </c:tx>
      <c:layout>
        <c:manualLayout>
          <c:xMode val="edge"/>
          <c:yMode val="edge"/>
          <c:x val="8.9306583063450865E-2"/>
          <c:y val="1.3089094933629379E-2"/>
        </c:manualLayout>
      </c:layout>
      <c:spPr>
        <a:noFill/>
        <a:ln w="25400">
          <a:noFill/>
        </a:ln>
      </c:spPr>
    </c:title>
    <c:plotArea>
      <c:layout>
        <c:manualLayout>
          <c:layoutTarget val="inner"/>
          <c:xMode val="edge"/>
          <c:yMode val="edge"/>
          <c:x val="9.1178963750244243E-2"/>
          <c:y val="9.6858762550571728E-2"/>
          <c:w val="0.84684108057319474"/>
          <c:h val="0.77645696858577373"/>
        </c:manualLayout>
      </c:layout>
      <c:scatterChart>
        <c:scatterStyle val="smoothMarker"/>
        <c:ser>
          <c:idx val="0"/>
          <c:order val="0"/>
          <c:tx>
            <c:v>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Distribution!$AL$12:$AL$135</c:f>
              <c:numCache>
                <c:formatCode>0.000</c:formatCode>
                <c:ptCount val="124"/>
                <c:pt idx="0">
                  <c:v>4.4888282860756884E-2</c:v>
                </c:pt>
                <c:pt idx="1">
                  <c:v>2.7365124362053031E-2</c:v>
                </c:pt>
                <c:pt idx="2">
                  <c:v>1.6715486711544884E-2</c:v>
                </c:pt>
                <c:pt idx="3">
                  <c:v>1.0233177233495995E-2</c:v>
                </c:pt>
                <c:pt idx="4">
                  <c:v>6.2777572148683724E-3</c:v>
                </c:pt>
                <c:pt idx="5">
                  <c:v>3.8584084185376145E-3</c:v>
                </c:pt>
                <c:pt idx="6">
                  <c:v>2.3762161423730357E-3</c:v>
                </c:pt>
                <c:pt idx="7">
                  <c:v>1.4680816482827881E-3</c:v>
                </c:pt>
                <c:pt idx="8">
                  <c:v>9.1331118878350986E-4</c:v>
                </c:pt>
                <c:pt idx="9">
                  <c:v>5.7783963759991126E-4</c:v>
                </c:pt>
                <c:pt idx="10">
                  <c:v>3.8089467588683153E-4</c:v>
                </c:pt>
                <c:pt idx="11">
                  <c:v>2.7515856410965955E-4</c:v>
                </c:pt>
                <c:pt idx="12">
                  <c:v>2.3523615614638407E-4</c:v>
                </c:pt>
                <c:pt idx="13">
                  <c:v>2.5147217689568005E-4</c:v>
                </c:pt>
                <c:pt idx="14">
                  <c:v>3.2753285969691127E-4</c:v>
                </c:pt>
                <c:pt idx="15">
                  <c:v>4.8106426795505096E-4</c:v>
                </c:pt>
                <c:pt idx="16">
                  <c:v>7.4736562201855976E-4</c:v>
                </c:pt>
                <c:pt idx="17">
                  <c:v>1.1864114243918542E-3</c:v>
                </c:pt>
                <c:pt idx="18">
                  <c:v>1.8935067325525716E-3</c:v>
                </c:pt>
                <c:pt idx="19">
                  <c:v>3.0125988842020913E-3</c:v>
                </c:pt>
                <c:pt idx="20">
                  <c:v>4.7468698489603056E-3</c:v>
                </c:pt>
                <c:pt idx="21">
                  <c:v>7.3500868178320369E-3</c:v>
                </c:pt>
                <c:pt idx="22">
                  <c:v>1.1061703391188088E-2</c:v>
                </c:pt>
                <c:pt idx="23">
                  <c:v>1.5932769215144218E-2</c:v>
                </c:pt>
                <c:pt idx="24">
                  <c:v>2.1539222872890489E-2</c:v>
                </c:pt>
                <c:pt idx="25">
                  <c:v>2.6775064894176519E-2</c:v>
                </c:pt>
                <c:pt idx="26">
                  <c:v>3.0136586394410761E-2</c:v>
                </c:pt>
                <c:pt idx="27">
                  <c:v>3.0645090576055464E-2</c:v>
                </c:pt>
                <c:pt idx="28">
                  <c:v>2.8686512853821296E-2</c:v>
                </c:pt>
                <c:pt idx="29">
                  <c:v>2.5825368155059307E-2</c:v>
                </c:pt>
                <c:pt idx="30">
                  <c:v>2.3798912167528073E-2</c:v>
                </c:pt>
                <c:pt idx="31">
                  <c:v>2.3666901957600513E-2</c:v>
                </c:pt>
                <c:pt idx="32">
                  <c:v>2.5493290770411226E-2</c:v>
                </c:pt>
                <c:pt idx="33">
                  <c:v>2.8337378044321803E-2</c:v>
                </c:pt>
                <c:pt idx="34">
                  <c:v>3.0526654548970751E-2</c:v>
                </c:pt>
                <c:pt idx="35">
                  <c:v>3.0439076315771724E-2</c:v>
                </c:pt>
                <c:pt idx="36">
                  <c:v>2.7518681077247944E-2</c:v>
                </c:pt>
                <c:pt idx="37">
                  <c:v>2.2584933925320769E-2</c:v>
                </c:pt>
                <c:pt idx="38">
                  <c:v>1.7100660646200277E-2</c:v>
                </c:pt>
                <c:pt idx="39">
                  <c:v>1.2243955920702515E-2</c:v>
                </c:pt>
                <c:pt idx="40">
                  <c:v>8.5585450790567862E-3</c:v>
                </c:pt>
                <c:pt idx="41">
                  <c:v>6.1137449833713444E-3</c:v>
                </c:pt>
                <c:pt idx="42">
                  <c:v>4.7875614122914146E-3</c:v>
                </c:pt>
                <c:pt idx="43">
                  <c:v>4.4698599914085218E-3</c:v>
                </c:pt>
                <c:pt idx="44">
                  <c:v>5.1746949005550755E-3</c:v>
                </c:pt>
                <c:pt idx="45">
                  <c:v>7.1130840521927505E-3</c:v>
                </c:pt>
                <c:pt idx="46">
                  <c:v>1.077445232508277E-2</c:v>
                </c:pt>
                <c:pt idx="47">
                  <c:v>1.7054028407583171E-2</c:v>
                </c:pt>
                <c:pt idx="48">
                  <c:v>2.7465142158123759E-2</c:v>
                </c:pt>
                <c:pt idx="49">
                  <c:v>4.4491769515982049E-2</c:v>
                </c:pt>
                <c:pt idx="50">
                  <c:v>7.2162477370993058E-2</c:v>
                </c:pt>
              </c:numCache>
            </c:numRef>
          </c:yVal>
          <c:smooth val="1"/>
        </c:ser>
        <c:axId val="267805824"/>
        <c:axId val="267808128"/>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7810304"/>
        <c:axId val="267811840"/>
      </c:scatterChart>
      <c:valAx>
        <c:axId val="26780582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6149071707692257"/>
              <c:y val="0.9387827827004651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808128"/>
        <c:crosses val="autoZero"/>
        <c:crossBetween val="midCat"/>
      </c:valAx>
      <c:valAx>
        <c:axId val="267808128"/>
        <c:scaling>
          <c:orientation val="minMax"/>
          <c:max val="0.5"/>
          <c:min val="-1.0000000000000005E-2"/>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buffer</a:t>
                </a:r>
                <a:r>
                  <a:rPr lang="pt-BR" baseline="0"/>
                  <a:t> capacity</a:t>
                </a:r>
                <a:endParaRPr lang="pt-BR"/>
              </a:p>
            </c:rich>
          </c:tx>
          <c:layout>
            <c:manualLayout>
              <c:xMode val="edge"/>
              <c:yMode val="edge"/>
              <c:x val="8.7977898951855753E-3"/>
              <c:y val="0.3814186934205028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805824"/>
        <c:crosses val="autoZero"/>
        <c:crossBetween val="midCat"/>
      </c:valAx>
      <c:valAx>
        <c:axId val="267810304"/>
        <c:scaling>
          <c:orientation val="minMax"/>
        </c:scaling>
        <c:delete val="1"/>
        <c:axPos val="b"/>
        <c:numFmt formatCode="0.000" sourceLinked="1"/>
        <c:tickLblPos val="none"/>
        <c:crossAx val="267811840"/>
        <c:crosses val="autoZero"/>
        <c:crossBetween val="midCat"/>
      </c:valAx>
      <c:valAx>
        <c:axId val="267811840"/>
        <c:scaling>
          <c:orientation val="minMax"/>
        </c:scaling>
        <c:axPos val="r"/>
        <c:numFmt formatCode="0" sourceLinked="0"/>
        <c:tickLblPos val="nextTo"/>
        <c:crossAx val="267810304"/>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a:t>
            </a:r>
          </a:p>
        </c:rich>
      </c:tx>
      <c:layout>
        <c:manualLayout>
          <c:xMode val="edge"/>
          <c:yMode val="edge"/>
          <c:x val="0.10159161477364353"/>
          <c:y val="1.3054631057715723E-2"/>
        </c:manualLayout>
      </c:layout>
      <c:spPr>
        <a:noFill/>
        <a:ln w="25400">
          <a:noFill/>
        </a:ln>
      </c:spPr>
    </c:title>
    <c:plotArea>
      <c:layout>
        <c:manualLayout>
          <c:layoutTarget val="inner"/>
          <c:xMode val="edge"/>
          <c:yMode val="edge"/>
          <c:x val="0.10600773824186002"/>
          <c:y val="8.3550913838120244E-2"/>
          <c:w val="0.86318420624699665"/>
          <c:h val="0.76834824322610906"/>
        </c:manualLayout>
      </c:layout>
      <c:scatterChart>
        <c:scatterStyle val="smoothMarker"/>
        <c:ser>
          <c:idx val="0"/>
          <c:order val="0"/>
          <c:tx>
            <c:v>log_buffer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Distribution!$AU$12:$AU$135</c:f>
              <c:numCache>
                <c:formatCode>0.000</c:formatCode>
                <c:ptCount val="124"/>
                <c:pt idx="0">
                  <c:v>0.46923427751193569</c:v>
                </c:pt>
                <c:pt idx="1">
                  <c:v>0.26923557334782033</c:v>
                </c:pt>
                <c:pt idx="2">
                  <c:v>6.9236870753317442E-2</c:v>
                </c:pt>
                <c:pt idx="3">
                  <c:v>-0.13076182789849741</c:v>
                </c:pt>
                <c:pt idx="4">
                  <c:v>-0.33076051664673145</c:v>
                </c:pt>
                <c:pt idx="5">
                  <c:v>-0.53075918051830873</c:v>
                </c:pt>
                <c:pt idx="6">
                  <c:v>-0.73075778190260798</c:v>
                </c:pt>
                <c:pt idx="7">
                  <c:v>-0.93075622632623034</c:v>
                </c:pt>
                <c:pt idx="8">
                  <c:v>-1.1307542764837402</c:v>
                </c:pt>
                <c:pt idx="9">
                  <c:v>-1.3307513362960126</c:v>
                </c:pt>
                <c:pt idx="10">
                  <c:v>-1.5307459085077804</c:v>
                </c:pt>
                <c:pt idx="11">
                  <c:v>-1.73073423233985</c:v>
                </c:pt>
                <c:pt idx="12">
                  <c:v>-1.9307068620489993</c:v>
                </c:pt>
                <c:pt idx="13">
                  <c:v>-2.1306400764153532</c:v>
                </c:pt>
                <c:pt idx="14">
                  <c:v>-2.3304743233506064</c:v>
                </c:pt>
                <c:pt idx="15">
                  <c:v>-2.5300602173703282</c:v>
                </c:pt>
                <c:pt idx="16">
                  <c:v>-2.7290237740920875</c:v>
                </c:pt>
                <c:pt idx="17">
                  <c:v>-2.9264333677079351</c:v>
                </c:pt>
                <c:pt idx="18">
                  <c:v>-3.1199967099195116</c:v>
                </c:pt>
                <c:pt idx="19">
                  <c:v>-3.304242513591594</c:v>
                </c:pt>
                <c:pt idx="20">
                  <c:v>-3.4670349772947042</c:v>
                </c:pt>
                <c:pt idx="21">
                  <c:v>-3.5856442879627495</c:v>
                </c:pt>
                <c:pt idx="22">
                  <c:v>-3.6306484792637268</c:v>
                </c:pt>
                <c:pt idx="23">
                  <c:v>-3.5868995175720149</c:v>
                </c:pt>
                <c:pt idx="24">
                  <c:v>-3.4695824468277392</c:v>
                </c:pt>
                <c:pt idx="25">
                  <c:v>-3.3083247828154745</c:v>
                </c:pt>
                <c:pt idx="26">
                  <c:v>-3.1262074484037696</c:v>
                </c:pt>
                <c:pt idx="27">
                  <c:v>-2.9358488398267548</c:v>
                </c:pt>
                <c:pt idx="28">
                  <c:v>-2.7434112937920165</c:v>
                </c:pt>
                <c:pt idx="29">
                  <c:v>-2.5522236669921581</c:v>
                </c:pt>
                <c:pt idx="30">
                  <c:v>-2.3647898937236427</c:v>
                </c:pt>
                <c:pt idx="31">
                  <c:v>-2.1838425601175024</c:v>
                </c:pt>
                <c:pt idx="32">
                  <c:v>-2.0129746787325482</c:v>
                </c:pt>
                <c:pt idx="33">
                  <c:v>-1.8570505890910916</c:v>
                </c:pt>
                <c:pt idx="34">
                  <c:v>-1.7223315890380906</c:v>
                </c:pt>
                <c:pt idx="35">
                  <c:v>-1.6160405032539849</c:v>
                </c:pt>
                <c:pt idx="36">
                  <c:v>-1.5450116272649377</c:v>
                </c:pt>
                <c:pt idx="37">
                  <c:v>-1.5133210239551707</c:v>
                </c:pt>
                <c:pt idx="38">
                  <c:v>-1.5193820188046046</c:v>
                </c:pt>
                <c:pt idx="39">
                  <c:v>-1.5534818066232239</c:v>
                </c:pt>
                <c:pt idx="40">
                  <c:v>-1.5970478545122377</c:v>
                </c:pt>
                <c:pt idx="41">
                  <c:v>-1.6263437011692978</c:v>
                </c:pt>
                <c:pt idx="42">
                  <c:v>-1.6238535654340736</c:v>
                </c:pt>
                <c:pt idx="43">
                  <c:v>-1.5910932148544925</c:v>
                </c:pt>
                <c:pt idx="44">
                  <c:v>-1.5473520225934883</c:v>
                </c:pt>
                <c:pt idx="45">
                  <c:v>-1.5161136202148331</c:v>
                </c:pt>
                <c:pt idx="46">
                  <c:v>-1.5147210365136357</c:v>
                </c:pt>
                <c:pt idx="47">
                  <c:v>-1.5515115020101162</c:v>
                </c:pt>
                <c:pt idx="48">
                  <c:v>-1.6268074009933351</c:v>
                </c:pt>
                <c:pt idx="49">
                  <c:v>-1.7352723905666319</c:v>
                </c:pt>
                <c:pt idx="50">
                  <c:v>-1.8682287843519774</c:v>
                </c:pt>
                <c:pt idx="51">
                  <c:v>-2.0146002783801134</c:v>
                </c:pt>
                <c:pt idx="52">
                  <c:v>-2.1594458000548191</c:v>
                </c:pt>
                <c:pt idx="53">
                  <c:v>-2.2803101545819162</c:v>
                </c:pt>
                <c:pt idx="54">
                  <c:v>-2.3464256121737104</c:v>
                </c:pt>
                <c:pt idx="55">
                  <c:v>-2.3320544959169478</c:v>
                </c:pt>
                <c:pt idx="56">
                  <c:v>-2.2381788284251796</c:v>
                </c:pt>
                <c:pt idx="57">
                  <c:v>-2.0896046127762373</c:v>
                </c:pt>
                <c:pt idx="58">
                  <c:v>-1.9120954944221029</c:v>
                </c:pt>
                <c:pt idx="59">
                  <c:v>-1.7214345723480586</c:v>
                </c:pt>
                <c:pt idx="60">
                  <c:v>-1.525222663636602</c:v>
                </c:pt>
                <c:pt idx="61">
                  <c:v>-1.3267439737854763</c:v>
                </c:pt>
                <c:pt idx="62">
                  <c:v>-1.1273526949662789</c:v>
                </c:pt>
                <c:pt idx="63">
                  <c:v>-0.92759625201437024</c:v>
                </c:pt>
                <c:pt idx="64">
                  <c:v>-0.72769408228123378</c:v>
                </c:pt>
                <c:pt idx="65">
                  <c:v>-0.52773382746106379</c:v>
                </c:pt>
                <c:pt idx="66">
                  <c:v>-0.3277504338325502</c:v>
                </c:pt>
                <c:pt idx="67">
                  <c:v>-0.12775782524525647</c:v>
                </c:pt>
                <c:pt idx="68">
                  <c:v>7.2238452621706653E-2</c:v>
                </c:pt>
                <c:pt idx="69">
                  <c:v>0.27223619142903521</c:v>
                </c:pt>
                <c:pt idx="70">
                  <c:v>0.47223451188900717</c:v>
                </c:pt>
              </c:numCache>
            </c:numRef>
          </c:yVal>
          <c:smooth val="1"/>
        </c:ser>
        <c:axId val="267844224"/>
        <c:axId val="267854592"/>
      </c:scatterChart>
      <c:valAx>
        <c:axId val="267844224"/>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52244500367"/>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854592"/>
        <c:crossesAt val="-8"/>
        <c:crossBetween val="midCat"/>
        <c:majorUnit val="1"/>
        <c:minorUnit val="1"/>
      </c:valAx>
      <c:valAx>
        <c:axId val="267854592"/>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log buffer</a:t>
                </a:r>
                <a:r>
                  <a:rPr lang="pt-BR" baseline="0"/>
                  <a:t> capacity</a:t>
                </a:r>
                <a:endParaRPr lang="pt-BR"/>
              </a:p>
            </c:rich>
          </c:tx>
          <c:layout>
            <c:manualLayout>
              <c:xMode val="edge"/>
              <c:yMode val="edge"/>
              <c:x val="7.2358602233544393E-3"/>
              <c:y val="0.37652839786779252"/>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84422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paperSize="9" orientation="landscape"/>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 along a titration</a:t>
            </a:r>
          </a:p>
        </c:rich>
      </c:tx>
      <c:layout>
        <c:manualLayout>
          <c:xMode val="edge"/>
          <c:yMode val="edge"/>
          <c:x val="0.10881814085165965"/>
          <c:y val="9.5508369937048442E-3"/>
        </c:manualLayout>
      </c:layout>
      <c:spPr>
        <a:noFill/>
        <a:ln w="25400">
          <a:noFill/>
        </a:ln>
      </c:spPr>
    </c:title>
    <c:plotArea>
      <c:layout>
        <c:manualLayout>
          <c:layoutTarget val="inner"/>
          <c:xMode val="edge"/>
          <c:yMode val="edge"/>
          <c:x val="0.10530915371520309"/>
          <c:y val="7.5072355069758429E-2"/>
          <c:w val="0.83105218868983666"/>
          <c:h val="0.79304586428169543"/>
        </c:manualLayout>
      </c:layout>
      <c:scatterChart>
        <c:scatterStyle val="smoothMarker"/>
        <c:ser>
          <c:idx val="0"/>
          <c:order val="0"/>
          <c:tx>
            <c:v>log_bufferVol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Distribution!$BG$12:$BG$135</c:f>
              <c:numCache>
                <c:formatCode>0.000</c:formatCode>
                <c:ptCount val="124"/>
                <c:pt idx="0">
                  <c:v>-1.3478582815404516</c:v>
                </c:pt>
                <c:pt idx="1">
                  <c:v>-1.5627924562800397</c:v>
                </c:pt>
                <c:pt idx="2">
                  <c:v>-1.7768694698533114</c:v>
                </c:pt>
                <c:pt idx="3">
                  <c:v>-1.9899766208760554</c:v>
                </c:pt>
                <c:pt idx="4">
                  <c:v>-2.2021812271688606</c:v>
                </c:pt>
                <c:pt idx="5">
                  <c:v>-2.4135761779463194</c:v>
                </c:pt>
                <c:pt idx="6">
                  <c:v>-2.6240970696634012</c:v>
                </c:pt>
                <c:pt idx="7">
                  <c:v>-2.8332314477613272</c:v>
                </c:pt>
                <c:pt idx="8">
                  <c:v>-3.0393615449499154</c:v>
                </c:pt>
                <c:pt idx="9">
                  <c:v>-3.2381717064992883</c:v>
                </c:pt>
                <c:pt idx="10">
                  <c:v>-3.4191729619979192</c:v>
                </c:pt>
                <c:pt idx="11">
                  <c:v>-3.5603939154448652</c:v>
                </c:pt>
                <c:pt idx="12">
                  <c:v>-3.6284724349179709</c:v>
                </c:pt>
                <c:pt idx="13">
                  <c:v>-3.5994867554893109</c:v>
                </c:pt>
                <c:pt idx="14">
                  <c:v>-3.4847225627420229</c:v>
                </c:pt>
                <c:pt idx="15">
                  <c:v>-3.3177754206426644</c:v>
                </c:pt>
                <c:pt idx="16">
                  <c:v>-3.1264466423759272</c:v>
                </c:pt>
                <c:pt idx="17">
                  <c:v>-2.9257457386113459</c:v>
                </c:pt>
                <c:pt idx="18">
                  <c:v>-2.7227155194198236</c:v>
                </c:pt>
                <c:pt idx="19">
                  <c:v>-2.5210423677897507</c:v>
                </c:pt>
                <c:pt idx="20">
                  <c:v>-2.3235776328168352</c:v>
                </c:pt>
                <c:pt idx="21">
                  <c:v>-2.1336937174833732</c:v>
                </c:pt>
                <c:pt idx="22">
                  <c:v>-1.9561653266207881</c:v>
                </c:pt>
                <c:pt idx="23">
                  <c:v>-1.7976970961899035</c:v>
                </c:pt>
                <c:pt idx="24">
                  <c:v>-1.6667591792882928</c:v>
                </c:pt>
                <c:pt idx="25">
                  <c:v>-1.5722592890497109</c:v>
                </c:pt>
                <c:pt idx="26">
                  <c:v>-1.5208960959403153</c:v>
                </c:pt>
                <c:pt idx="27">
                  <c:v>-1.5136292914069092</c:v>
                </c:pt>
                <c:pt idx="28">
                  <c:v>-1.5423122566132781</c:v>
                </c:pt>
                <c:pt idx="29">
                  <c:v>-1.5879431982610215</c:v>
                </c:pt>
                <c:pt idx="30">
                  <c:v>-1.6234323836515399</c:v>
                </c:pt>
                <c:pt idx="31">
                  <c:v>-1.6258480625327487</c:v>
                </c:pt>
                <c:pt idx="32">
                  <c:v>-1.593563783757137</c:v>
                </c:pt>
                <c:pt idx="33">
                  <c:v>-1.5476303165304046</c:v>
                </c:pt>
                <c:pt idx="34">
                  <c:v>-1.5153109777537643</c:v>
                </c:pt>
                <c:pt idx="35">
                  <c:v>-1.5165587122695197</c:v>
                </c:pt>
                <c:pt idx="36">
                  <c:v>-1.5603622830876294</c:v>
                </c:pt>
                <c:pt idx="37">
                  <c:v>-1.6461705183184192</c:v>
                </c:pt>
                <c:pt idx="38">
                  <c:v>-1.7669756718227609</c:v>
                </c:pt>
                <c:pt idx="39">
                  <c:v>-1.9120658637969039</c:v>
                </c:pt>
                <c:pt idx="40">
                  <c:v>-2.0675866718815641</c:v>
                </c:pt>
                <c:pt idx="41">
                  <c:v>-2.2136783491095224</c:v>
                </c:pt>
                <c:pt idx="42">
                  <c:v>-2.319870623175964</c:v>
                </c:pt>
                <c:pt idx="43">
                  <c:v>-2.3496908680099642</c:v>
                </c:pt>
                <c:pt idx="44">
                  <c:v>-2.2861004507874494</c:v>
                </c:pt>
                <c:pt idx="45">
                  <c:v>-2.1479281536522978</c:v>
                </c:pt>
                <c:pt idx="46">
                  <c:v>-1.9675920579269999</c:v>
                </c:pt>
                <c:pt idx="47">
                  <c:v>-1.7681615707984655</c:v>
                </c:pt>
                <c:pt idx="48">
                  <c:v>-1.5612080414431631</c:v>
                </c:pt>
                <c:pt idx="49">
                  <c:v>-1.3517115702306977</c:v>
                </c:pt>
                <c:pt idx="50">
                  <c:v>-1.1416811744024822</c:v>
                </c:pt>
              </c:numCache>
            </c:numRef>
          </c:yVal>
          <c:smooth val="1"/>
        </c:ser>
        <c:axId val="267913472"/>
        <c:axId val="267920128"/>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7922048"/>
        <c:axId val="267927936"/>
      </c:scatterChart>
      <c:valAx>
        <c:axId val="267913472"/>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42571972081486"/>
              <c:y val="0.93881478182836386"/>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920128"/>
        <c:crossesAt val="-8"/>
        <c:crossBetween val="midCat"/>
      </c:valAx>
      <c:valAx>
        <c:axId val="267920128"/>
        <c:scaling>
          <c:orientation val="minMax"/>
          <c:max val="0.1"/>
          <c:min val="-4"/>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log buffer capacity</a:t>
                </a:r>
              </a:p>
            </c:rich>
          </c:tx>
          <c:layout>
            <c:manualLayout>
              <c:xMode val="edge"/>
              <c:yMode val="edge"/>
              <c:x val="8.7978452234755058E-3"/>
              <c:y val="0.38141867228036108"/>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913472"/>
        <c:crosses val="autoZero"/>
        <c:crossBetween val="midCat"/>
      </c:valAx>
      <c:valAx>
        <c:axId val="267922048"/>
        <c:scaling>
          <c:orientation val="minMax"/>
        </c:scaling>
        <c:delete val="1"/>
        <c:axPos val="b"/>
        <c:numFmt formatCode="0.000" sourceLinked="1"/>
        <c:tickLblPos val="none"/>
        <c:crossAx val="267927936"/>
        <c:crosses val="autoZero"/>
        <c:crossBetween val="midCat"/>
      </c:valAx>
      <c:valAx>
        <c:axId val="267927936"/>
        <c:scaling>
          <c:orientation val="minMax"/>
        </c:scaling>
        <c:axPos val="r"/>
        <c:numFmt formatCode="0" sourceLinked="0"/>
        <c:tickLblPos val="nextTo"/>
        <c:crossAx val="26792204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a:t>Mean charge of species </a:t>
            </a:r>
            <a:r>
              <a:rPr lang="pt-BR" baseline="0"/>
              <a:t>HiB</a:t>
            </a:r>
            <a:endParaRPr lang="pt-BR"/>
          </a:p>
        </c:rich>
      </c:tx>
      <c:layout>
        <c:manualLayout>
          <c:xMode val="edge"/>
          <c:yMode val="edge"/>
          <c:x val="7.8100505060888281E-2"/>
          <c:y val="5.4957677967515731E-3"/>
        </c:manualLayout>
      </c:layout>
      <c:spPr>
        <a:noFill/>
        <a:ln w="25400">
          <a:noFill/>
        </a:ln>
      </c:spPr>
    </c:title>
    <c:plotArea>
      <c:layout>
        <c:manualLayout>
          <c:layoutTarget val="inner"/>
          <c:xMode val="edge"/>
          <c:yMode val="edge"/>
          <c:x val="8.3936419705656767E-2"/>
          <c:y val="7.8553241700468457E-2"/>
          <c:w val="0.88422638458922409"/>
          <c:h val="0.7848420127717336"/>
        </c:manualLayout>
      </c:layout>
      <c:scatterChart>
        <c:scatterStyle val="smoothMarker"/>
        <c:ser>
          <c:idx val="1"/>
          <c:order val="0"/>
          <c:tx>
            <c:v>"mean charge"</c:v>
          </c:tx>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Distribution!$BI$12:$BI$135</c:f>
              <c:numCache>
                <c:formatCode>0.000</c:formatCode>
                <c:ptCount val="124"/>
                <c:pt idx="0">
                  <c:v>-4.0459340544529709E-8</c:v>
                </c:pt>
                <c:pt idx="1">
                  <c:v>-6.412373165787244E-8</c:v>
                </c:pt>
                <c:pt idx="2">
                  <c:v>-1.0162926167289754E-7</c:v>
                </c:pt>
                <c:pt idx="3">
                  <c:v>-1.6107151590283308E-7</c:v>
                </c:pt>
                <c:pt idx="4">
                  <c:v>-2.5528112623796062E-7</c:v>
                </c:pt>
                <c:pt idx="5">
                  <c:v>-4.0459326045017008E-7</c:v>
                </c:pt>
                <c:pt idx="6">
                  <c:v>-6.4123695797668745E-7</c:v>
                </c:pt>
                <c:pt idx="7">
                  <c:v>-1.0162917203349053E-6</c:v>
                </c:pt>
                <c:pt idx="8">
                  <c:v>-1.6107129032771894E-6</c:v>
                </c:pt>
                <c:pt idx="9">
                  <c:v>-2.5528055886958612E-6</c:v>
                </c:pt>
                <c:pt idx="10">
                  <c:v>-4.0459183561214473E-6</c:v>
                </c:pt>
                <c:pt idx="11">
                  <c:v>-6.4123337821797577E-6</c:v>
                </c:pt>
                <c:pt idx="12">
                  <c:v>-1.016282729127127E-5</c:v>
                </c:pt>
                <c:pt idx="13">
                  <c:v>-1.6106903181878351E-5</c:v>
                </c:pt>
                <c:pt idx="14">
                  <c:v>-2.5527488588306113E-5</c:v>
                </c:pt>
                <c:pt idx="15">
                  <c:v>-4.0457758592848947E-5</c:v>
                </c:pt>
                <c:pt idx="16">
                  <c:v>-6.4119758557801276E-5</c:v>
                </c:pt>
                <c:pt idx="17">
                  <c:v>-1.016192825711304E-4</c:v>
                </c:pt>
                <c:pt idx="18">
                  <c:v>-1.6104645056280731E-4</c:v>
                </c:pt>
                <c:pt idx="19">
                  <c:v>-2.5521817011053827E-4</c:v>
                </c:pt>
                <c:pt idx="20">
                  <c:v>-4.0443514533961E-4</c:v>
                </c:pt>
                <c:pt idx="21">
                  <c:v>-6.4083988249863388E-4</c:v>
                </c:pt>
                <c:pt idx="22">
                  <c:v>-1.0152946802743923E-3</c:v>
                </c:pt>
                <c:pt idx="23">
                  <c:v>-1.6082099142871176E-3</c:v>
                </c:pt>
                <c:pt idx="24">
                  <c:v>-2.5465241795123994E-3</c:v>
                </c:pt>
                <c:pt idx="25">
                  <c:v>-4.0301632608243931E-3</c:v>
                </c:pt>
                <c:pt idx="26">
                  <c:v>-6.3728503541506942E-3</c:v>
                </c:pt>
                <c:pt idx="27">
                  <c:v>-1.0064011826283359E-2</c:v>
                </c:pt>
                <c:pt idx="28">
                  <c:v>-1.5860119245579174E-2</c:v>
                </c:pt>
                <c:pt idx="29">
                  <c:v>-2.4913201598719903E-2</c:v>
                </c:pt>
                <c:pt idx="30">
                  <c:v>-3.8936544236346959E-2</c:v>
                </c:pt>
                <c:pt idx="31">
                  <c:v>-6.0382348177408618E-2</c:v>
                </c:pt>
                <c:pt idx="32">
                  <c:v>-9.2546353101389922E-2</c:v>
                </c:pt>
                <c:pt idx="33">
                  <c:v>-0.13940719113188482</c:v>
                </c:pt>
                <c:pt idx="34">
                  <c:v>-0.20489128589834604</c:v>
                </c:pt>
                <c:pt idx="35">
                  <c:v>-0.29130997978796547</c:v>
                </c:pt>
                <c:pt idx="36">
                  <c:v>-0.39727658946156863</c:v>
                </c:pt>
                <c:pt idx="37">
                  <c:v>-0.51648011362880597</c:v>
                </c:pt>
                <c:pt idx="38">
                  <c:v>-0.63910138825304497</c:v>
                </c:pt>
                <c:pt idx="39">
                  <c:v>-0.75588896092087032</c:v>
                </c:pt>
                <c:pt idx="40">
                  <c:v>-0.86224108694310586</c:v>
                </c:pt>
                <c:pt idx="41">
                  <c:v>-0.95956860346846296</c:v>
                </c:pt>
                <c:pt idx="42">
                  <c:v>-1.0537382993966278</c:v>
                </c:pt>
                <c:pt idx="43">
                  <c:v>-1.1520520038513382</c:v>
                </c:pt>
                <c:pt idx="44">
                  <c:v>-1.2599158029649817</c:v>
                </c:pt>
                <c:pt idx="45">
                  <c:v>-1.3779367629555648</c:v>
                </c:pt>
                <c:pt idx="46">
                  <c:v>-1.5007007044330984</c:v>
                </c:pt>
                <c:pt idx="47">
                  <c:v>-1.6185930911631565</c:v>
                </c:pt>
                <c:pt idx="48">
                  <c:v>-1.7220835824599552</c:v>
                </c:pt>
                <c:pt idx="49">
                  <c:v>-1.8055411164062309</c:v>
                </c:pt>
                <c:pt idx="50">
                  <c:v>-1.8682127621476137</c:v>
                </c:pt>
                <c:pt idx="51">
                  <c:v>-1.9127597304461004</c:v>
                </c:pt>
                <c:pt idx="52">
                  <c:v>-1.9431903125046497</c:v>
                </c:pt>
                <c:pt idx="53">
                  <c:v>-1.963414752486248</c:v>
                </c:pt>
                <c:pt idx="54">
                  <c:v>-1.9766111209408683</c:v>
                </c:pt>
                <c:pt idx="55">
                  <c:v>-1.9851184469057201</c:v>
                </c:pt>
                <c:pt idx="56">
                  <c:v>-1.9905602491428795</c:v>
                </c:pt>
                <c:pt idx="57">
                  <c:v>-1.9940237872577478</c:v>
                </c:pt>
                <c:pt idx="58">
                  <c:v>-1.9962212047298087</c:v>
                </c:pt>
                <c:pt idx="59">
                  <c:v>-1.9976125212620619</c:v>
                </c:pt>
                <c:pt idx="60">
                  <c:v>-1.9984923179344531</c:v>
                </c:pt>
                <c:pt idx="61">
                  <c:v>-1.9990482047075491</c:v>
                </c:pt>
                <c:pt idx="62">
                  <c:v>-1.9993992536692358</c:v>
                </c:pt>
                <c:pt idx="63">
                  <c:v>-1.9996208733907561</c:v>
                </c:pt>
                <c:pt idx="64">
                  <c:v>-1.9997607549039156</c:v>
                </c:pt>
                <c:pt idx="65">
                  <c:v>-1.9998490336568899</c:v>
                </c:pt>
                <c:pt idx="66">
                  <c:v>-1.9999047415436804</c:v>
                </c:pt>
                <c:pt idx="67">
                  <c:v>-1.9999398939335493</c:v>
                </c:pt>
                <c:pt idx="68">
                  <c:v>-1.9999620748222231</c:v>
                </c:pt>
                <c:pt idx="69">
                  <c:v>-1.9999760705065888</c:v>
                </c:pt>
                <c:pt idx="70">
                  <c:v>-1.9999849013814119</c:v>
                </c:pt>
              </c:numCache>
            </c:numRef>
          </c:yVal>
          <c:smooth val="1"/>
        </c:ser>
        <c:axId val="267972992"/>
        <c:axId val="267974912"/>
      </c:scatterChart>
      <c:valAx>
        <c:axId val="267972992"/>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482686075"/>
              <c:y val="0.93235636498982832"/>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974912"/>
        <c:crossesAt val="-6"/>
        <c:crossBetween val="midCat"/>
        <c:majorUnit val="1"/>
        <c:minorUnit val="1"/>
      </c:valAx>
      <c:valAx>
        <c:axId val="267974912"/>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en-US"/>
                  <a:t>charge</a:t>
                </a:r>
              </a:p>
            </c:rich>
          </c:tx>
          <c:layout>
            <c:manualLayout>
              <c:xMode val="edge"/>
              <c:yMode val="edge"/>
              <c:x val="7.235870973047431E-3"/>
              <c:y val="0.3765286307426732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797299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paperSize="9" orientation="landscape"/>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1" i="0" baseline="0"/>
              <a:t>Mean charge of species HiB along a titration</a:t>
            </a:r>
          </a:p>
        </c:rich>
      </c:tx>
      <c:layout>
        <c:manualLayout>
          <c:xMode val="edge"/>
          <c:yMode val="edge"/>
          <c:x val="8.032358406307423E-2"/>
          <c:y val="8.87943751556604E-3"/>
        </c:manualLayout>
      </c:layout>
      <c:spPr>
        <a:noFill/>
        <a:ln w="25400">
          <a:noFill/>
        </a:ln>
      </c:spPr>
    </c:title>
    <c:plotArea>
      <c:layout>
        <c:manualLayout>
          <c:layoutTarget val="inner"/>
          <c:xMode val="edge"/>
          <c:yMode val="edge"/>
          <c:x val="8.171212556670375E-2"/>
          <c:y val="7.6438476983894083E-2"/>
          <c:w val="0.84777844959954363"/>
          <c:h val="0.77750704068975485"/>
        </c:manualLayout>
      </c:layout>
      <c:scatterChart>
        <c:scatterStyle val="smoothMarker"/>
        <c:ser>
          <c:idx val="2"/>
          <c:order val="1"/>
          <c:tx>
            <c:v>"mean charge"</c:v>
          </c:tx>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Distribution!$BK$12:$BK$135</c:f>
              <c:numCache>
                <c:formatCode>0.000</c:formatCode>
                <c:ptCount val="124"/>
                <c:pt idx="0">
                  <c:v>-2.6553696002018512E-6</c:v>
                </c:pt>
                <c:pt idx="1">
                  <c:v>-4.3557689208828521E-6</c:v>
                </c:pt>
                <c:pt idx="2">
                  <c:v>-7.1310821272430047E-6</c:v>
                </c:pt>
                <c:pt idx="3">
                  <c:v>-1.1649241863587179E-5</c:v>
                </c:pt>
                <c:pt idx="4">
                  <c:v>-1.8993059673011459E-5</c:v>
                </c:pt>
                <c:pt idx="5">
                  <c:v>-3.0919737749934839E-5</c:v>
                </c:pt>
                <c:pt idx="6">
                  <c:v>-5.0281512593564059E-5</c:v>
                </c:pt>
                <c:pt idx="7">
                  <c:v>-8.1707734517433295E-5</c:v>
                </c:pt>
                <c:pt idx="8">
                  <c:v>-1.3271120467583941E-4</c:v>
                </c:pt>
                <c:pt idx="9">
                  <c:v>-2.1548253880299129E-4</c:v>
                </c:pt>
                <c:pt idx="10">
                  <c:v>-3.4979941520441038E-4</c:v>
                </c:pt>
                <c:pt idx="11">
                  <c:v>-5.6774041164264766E-4</c:v>
                </c:pt>
                <c:pt idx="12">
                  <c:v>-9.213148072082511E-4</c:v>
                </c:pt>
                <c:pt idx="13">
                  <c:v>-1.4947909915057345E-3</c:v>
                </c:pt>
                <c:pt idx="14">
                  <c:v>-2.4245607880448716E-3</c:v>
                </c:pt>
                <c:pt idx="15">
                  <c:v>-3.9309960399496191E-3</c:v>
                </c:pt>
                <c:pt idx="16">
                  <c:v>-6.369133485699896E-3</c:v>
                </c:pt>
                <c:pt idx="17">
                  <c:v>-1.0308218870960673E-2</c:v>
                </c:pt>
                <c:pt idx="18">
                  <c:v>-1.6653526734985435E-2</c:v>
                </c:pt>
                <c:pt idx="19">
                  <c:v>-2.6824555920582638E-2</c:v>
                </c:pt>
                <c:pt idx="20">
                  <c:v>-4.2992461867513043E-2</c:v>
                </c:pt>
                <c:pt idx="21">
                  <c:v>-6.8333143890418224E-2</c:v>
                </c:pt>
                <c:pt idx="22">
                  <c:v>-0.10713008832050086</c:v>
                </c:pt>
                <c:pt idx="23">
                  <c:v>-0.16434938259049781</c:v>
                </c:pt>
                <c:pt idx="24">
                  <c:v>-0.24417885533473105</c:v>
                </c:pt>
                <c:pt idx="25">
                  <c:v>-0.34745223763981747</c:v>
                </c:pt>
                <c:pt idx="26">
                  <c:v>-0.46921480458998022</c:v>
                </c:pt>
                <c:pt idx="27">
                  <c:v>-0.59897695777601179</c:v>
                </c:pt>
                <c:pt idx="28">
                  <c:v>-0.72499007941228832</c:v>
                </c:pt>
                <c:pt idx="29">
                  <c:v>-0.83997360287552669</c:v>
                </c:pt>
                <c:pt idx="30">
                  <c:v>-0.94399522518522239</c:v>
                </c:pt>
                <c:pt idx="31">
                  <c:v>-1.0431817178538596</c:v>
                </c:pt>
                <c:pt idx="32">
                  <c:v>-1.1460331592481807</c:v>
                </c:pt>
                <c:pt idx="33">
                  <c:v>-1.2591492016706325</c:v>
                </c:pt>
                <c:pt idx="34">
                  <c:v>-1.3834433423994832</c:v>
                </c:pt>
                <c:pt idx="35">
                  <c:v>-1.5125242215019279</c:v>
                </c:pt>
                <c:pt idx="36">
                  <c:v>-1.6351088984190978</c:v>
                </c:pt>
                <c:pt idx="37">
                  <c:v>-1.7405418458080668</c:v>
                </c:pt>
                <c:pt idx="38">
                  <c:v>-1.8232904943534456</c:v>
                </c:pt>
                <c:pt idx="39">
                  <c:v>-1.8835550564331571</c:v>
                </c:pt>
                <c:pt idx="40">
                  <c:v>-1.9250588546432692</c:v>
                </c:pt>
                <c:pt idx="41">
                  <c:v>-1.9525439675683671</c:v>
                </c:pt>
                <c:pt idx="42">
                  <c:v>-1.9702730376053579</c:v>
                </c:pt>
                <c:pt idx="43">
                  <c:v>-1.9815138413664883</c:v>
                </c:pt>
                <c:pt idx="44">
                  <c:v>-1.9885612370061205</c:v>
                </c:pt>
                <c:pt idx="45">
                  <c:v>-1.9929462918773193</c:v>
                </c:pt>
                <c:pt idx="46">
                  <c:v>-1.9956599708528739</c:v>
                </c:pt>
                <c:pt idx="47">
                  <c:v>-1.9973325061131695</c:v>
                </c:pt>
                <c:pt idx="48">
                  <c:v>-1.9983605432441804</c:v>
                </c:pt>
                <c:pt idx="49">
                  <c:v>-1.9989916507581047</c:v>
                </c:pt>
                <c:pt idx="50">
                  <c:v>-1.9993790756232039</c:v>
                </c:pt>
              </c:numCache>
            </c:numRef>
          </c:yVal>
          <c:smooth val="1"/>
        </c:ser>
        <c:axId val="268410880"/>
        <c:axId val="268413184"/>
      </c:scatterChart>
      <c:scatterChart>
        <c:scatterStyle val="smoothMarker"/>
        <c:ser>
          <c:idx val="1"/>
          <c:order val="0"/>
          <c:spPr>
            <a:ln w="12700">
              <a:solidFill>
                <a:srgbClr val="0000FF"/>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68427648"/>
        <c:axId val="268429184"/>
      </c:scatterChart>
      <c:valAx>
        <c:axId val="268410880"/>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9211400726148"/>
              <c:y val="0.9323565211282895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8413184"/>
        <c:crossesAt val="-6"/>
        <c:crossBetween val="midCat"/>
      </c:valAx>
      <c:valAx>
        <c:axId val="268413184"/>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charge</a:t>
                </a:r>
              </a:p>
            </c:rich>
          </c:tx>
          <c:layout>
            <c:manualLayout>
              <c:xMode val="edge"/>
              <c:yMode val="edge"/>
              <c:x val="1.0563979372200381E-2"/>
              <c:y val="0.38141860004725708"/>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68410880"/>
        <c:crosses val="autoZero"/>
        <c:crossBetween val="midCat"/>
      </c:valAx>
      <c:valAx>
        <c:axId val="268427648"/>
        <c:scaling>
          <c:orientation val="minMax"/>
        </c:scaling>
        <c:delete val="1"/>
        <c:axPos val="b"/>
        <c:numFmt formatCode="0.000" sourceLinked="1"/>
        <c:tickLblPos val="none"/>
        <c:crossAx val="268429184"/>
        <c:crosses val="autoZero"/>
        <c:crossBetween val="midCat"/>
      </c:valAx>
      <c:valAx>
        <c:axId val="268429184"/>
        <c:scaling>
          <c:orientation val="minMax"/>
        </c:scaling>
        <c:axPos val="r"/>
        <c:numFmt formatCode="0" sourceLinked="0"/>
        <c:tickLblPos val="nextTo"/>
        <c:crossAx val="26842764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8.2284643026247717E-2"/>
          <c:y val="7.5000091552848772E-2"/>
          <c:w val="0.88008225573789656"/>
          <c:h val="0.81041424425376918"/>
        </c:manualLayout>
      </c:layout>
      <c:scatterChart>
        <c:scatterStyle val="smoothMarker"/>
        <c:ser>
          <c:idx val="1"/>
          <c:order val="0"/>
          <c:tx>
            <c:v>1st derivatives</c:v>
          </c:tx>
          <c:spPr>
            <a:ln w="25400">
              <a:solidFill>
                <a:srgbClr val="FF0000"/>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Evaluation!$V$6:$V$306</c:f>
              <c:numCache>
                <c:formatCode>0.0000</c:formatCode>
                <c:ptCount val="301"/>
                <c:pt idx="0">
                  <c:v>4.438840152905367E-2</c:v>
                </c:pt>
                <c:pt idx="1">
                  <c:v>4.4577872352090181E-2</c:v>
                </c:pt>
                <c:pt idx="2">
                  <c:v>4.514590626534639E-2</c:v>
                </c:pt>
                <c:pt idx="3">
                  <c:v>4.6092503263493213E-2</c:v>
                </c:pt>
                <c:pt idx="4">
                  <c:v>4.7417663346530657E-2</c:v>
                </c:pt>
                <c:pt idx="5">
                  <c:v>4.9121386519787792E-2</c:v>
                </c:pt>
                <c:pt idx="6">
                  <c:v>5.1203672775271013E-2</c:v>
                </c:pt>
                <c:pt idx="7">
                  <c:v>5.3664522120973918E-2</c:v>
                </c:pt>
                <c:pt idx="8">
                  <c:v>5.650393455156745E-2</c:v>
                </c:pt>
                <c:pt idx="9">
                  <c:v>5.9721910067051596E-2</c:v>
                </c:pt>
                <c:pt idx="10">
                  <c:v>6.3318448672755434E-2</c:v>
                </c:pt>
                <c:pt idx="11">
                  <c:v>6.7293550363349885E-2</c:v>
                </c:pt>
                <c:pt idx="12">
                  <c:v>7.1647215138834958E-2</c:v>
                </c:pt>
                <c:pt idx="13">
                  <c:v>7.63750338648196E-2</c:v>
                </c:pt>
                <c:pt idx="14">
                  <c:v>8.1181752189660866E-2</c:v>
                </c:pt>
                <c:pt idx="15">
                  <c:v>8.5888771766575181E-2</c:v>
                </c:pt>
                <c:pt idx="16">
                  <c:v>9.0496092603556164E-2</c:v>
                </c:pt>
                <c:pt idx="17">
                  <c:v>9.5003714697939279E-2</c:v>
                </c:pt>
                <c:pt idx="18">
                  <c:v>9.9411638049724527E-2</c:v>
                </c:pt>
                <c:pt idx="19">
                  <c:v>0.10371986265624737</c:v>
                </c:pt>
                <c:pt idx="20">
                  <c:v>0.10792838852017235</c:v>
                </c:pt>
                <c:pt idx="21">
                  <c:v>0.11203721564149946</c:v>
                </c:pt>
                <c:pt idx="22">
                  <c:v>0.1160463440202287</c:v>
                </c:pt>
                <c:pt idx="23">
                  <c:v>0.11995577365636007</c:v>
                </c:pt>
                <c:pt idx="24">
                  <c:v>0.12376550454722904</c:v>
                </c:pt>
                <c:pt idx="25">
                  <c:v>0.12653836520839193</c:v>
                </c:pt>
                <c:pt idx="26">
                  <c:v>0.12722246958689071</c:v>
                </c:pt>
                <c:pt idx="27">
                  <c:v>0.12581695317426056</c:v>
                </c:pt>
                <c:pt idx="28">
                  <c:v>0.12232181596783695</c:v>
                </c:pt>
                <c:pt idx="29">
                  <c:v>0.11673705796761988</c:v>
                </c:pt>
                <c:pt idx="30">
                  <c:v>0.10906267917627388</c:v>
                </c:pt>
                <c:pt idx="31">
                  <c:v>9.9298679593798955E-2</c:v>
                </c:pt>
                <c:pt idx="32">
                  <c:v>8.7445059212201484E-2</c:v>
                </c:pt>
                <c:pt idx="33">
                  <c:v>7.3501818042139622E-2</c:v>
                </c:pt>
                <c:pt idx="34">
                  <c:v>6.0245811080305356E-2</c:v>
                </c:pt>
                <c:pt idx="35">
                  <c:v>5.3920100447483715E-2</c:v>
                </c:pt>
                <c:pt idx="36">
                  <c:v>5.4759681287026005E-2</c:v>
                </c:pt>
                <c:pt idx="37">
                  <c:v>6.2764553601596745E-2</c:v>
                </c:pt>
                <c:pt idx="38">
                  <c:v>7.7934717393860486E-2</c:v>
                </c:pt>
                <c:pt idx="39">
                  <c:v>0.10027017265848816</c:v>
                </c:pt>
                <c:pt idx="40">
                  <c:v>0.12977091939814428</c:v>
                </c:pt>
                <c:pt idx="41">
                  <c:v>0.16444787681136983</c:v>
                </c:pt>
                <c:pt idx="42">
                  <c:v>0.19363480334919192</c:v>
                </c:pt>
                <c:pt idx="43">
                  <c:v>0.21574983461475986</c:v>
                </c:pt>
                <c:pt idx="44">
                  <c:v>0.23079297060807366</c:v>
                </c:pt>
                <c:pt idx="45">
                  <c:v>0.23876421133179784</c:v>
                </c:pt>
                <c:pt idx="46">
                  <c:v>0.23966491348468583</c:v>
                </c:pt>
                <c:pt idx="47">
                  <c:v>0.2380976011647124</c:v>
                </c:pt>
                <c:pt idx="48">
                  <c:v>0.23835811535094331</c:v>
                </c:pt>
                <c:pt idx="49">
                  <c:v>0.2404464560380494</c:v>
                </c:pt>
                <c:pt idx="50">
                  <c:v>0.24436262323668889</c:v>
                </c:pt>
                <c:pt idx="51">
                  <c:v>0.26222237110182117</c:v>
                </c:pt>
                <c:pt idx="52">
                  <c:v>0.30942692318371035</c:v>
                </c:pt>
                <c:pt idx="53">
                  <c:v>0.38603015286811038</c:v>
                </c:pt>
                <c:pt idx="54">
                  <c:v>0.4933681237508184</c:v>
                </c:pt>
                <c:pt idx="55">
                  <c:v>0.63291077901771609</c:v>
                </c:pt>
                <c:pt idx="56">
                  <c:v>0.82271991488532481</c:v>
                </c:pt>
                <c:pt idx="57">
                  <c:v>1.0913088884059261</c:v>
                </c:pt>
                <c:pt idx="58">
                  <c:v>1.405575552038181</c:v>
                </c:pt>
                <c:pt idx="59">
                  <c:v>1.6731273266693101</c:v>
                </c:pt>
                <c:pt idx="60">
                  <c:v>1.8099075978839589</c:v>
                </c:pt>
                <c:pt idx="61">
                  <c:v>1.7207090287477769</c:v>
                </c:pt>
                <c:pt idx="62">
                  <c:v>1.4049640901383833</c:v>
                </c:pt>
                <c:pt idx="63">
                  <c:v>1.0951869747247818</c:v>
                </c:pt>
                <c:pt idx="64">
                  <c:v>0.83729180375463508</c:v>
                </c:pt>
                <c:pt idx="65">
                  <c:v>0.64081250218439401</c:v>
                </c:pt>
                <c:pt idx="66">
                  <c:v>0.50510178926237537</c:v>
                </c:pt>
                <c:pt idx="67">
                  <c:v>0.40445466534433649</c:v>
                </c:pt>
                <c:pt idx="68">
                  <c:v>0.33357192116139561</c:v>
                </c:pt>
                <c:pt idx="69">
                  <c:v>0.28390931925708351</c:v>
                </c:pt>
                <c:pt idx="70">
                  <c:v>0.24769290078917938</c:v>
                </c:pt>
                <c:pt idx="71">
                  <c:v>0.22492266576301234</c:v>
                </c:pt>
                <c:pt idx="72">
                  <c:v>0.21263479886798783</c:v>
                </c:pt>
                <c:pt idx="73">
                  <c:v>0.20063420144518171</c:v>
                </c:pt>
                <c:pt idx="74">
                  <c:v>0.18806401114282997</c:v>
                </c:pt>
                <c:pt idx="75">
                  <c:v>0.17492422796626164</c:v>
                </c:pt>
                <c:pt idx="76">
                  <c:v>0.16121665757509859</c:v>
                </c:pt>
                <c:pt idx="77">
                  <c:v>0.14873917370727863</c:v>
                </c:pt>
                <c:pt idx="78">
                  <c:v>0.13907404830831385</c:v>
                </c:pt>
                <c:pt idx="79">
                  <c:v>0.13222128138353337</c:v>
                </c:pt>
                <c:pt idx="80">
                  <c:v>0.12818087292227906</c:v>
                </c:pt>
                <c:pt idx="81">
                  <c:v>0.12695282292987994</c:v>
                </c:pt>
                <c:pt idx="82">
                  <c:v>0.12853713140100698</c:v>
                </c:pt>
                <c:pt idx="83">
                  <c:v>0.13194062595929115</c:v>
                </c:pt>
                <c:pt idx="84">
                  <c:v>0.13563143332579516</c:v>
                </c:pt>
                <c:pt idx="85">
                  <c:v>0.13959243356305087</c:v>
                </c:pt>
                <c:pt idx="86">
                  <c:v>0.14382362667105822</c:v>
                </c:pt>
                <c:pt idx="87">
                  <c:v>0.14832501264981726</c:v>
                </c:pt>
                <c:pt idx="88">
                  <c:v>0.153096591499328</c:v>
                </c:pt>
                <c:pt idx="89">
                  <c:v>0.15813836321426131</c:v>
                </c:pt>
                <c:pt idx="90">
                  <c:v>0.16345009566563454</c:v>
                </c:pt>
                <c:pt idx="91">
                  <c:v>0.16748543118215775</c:v>
                </c:pt>
                <c:pt idx="92">
                  <c:v>0.16877217084634771</c:v>
                </c:pt>
                <c:pt idx="93">
                  <c:v>0.16731031464754623</c:v>
                </c:pt>
                <c:pt idx="94">
                  <c:v>0.16309986259108239</c:v>
                </c:pt>
                <c:pt idx="95">
                  <c:v>0.15614081467162713</c:v>
                </c:pt>
                <c:pt idx="96">
                  <c:v>0.14643317088918045</c:v>
                </c:pt>
                <c:pt idx="97">
                  <c:v>0.1339769312490714</c:v>
                </c:pt>
                <c:pt idx="98">
                  <c:v>0.11877209575130002</c:v>
                </c:pt>
                <c:pt idx="99">
                  <c:v>0.1008186643905372</c:v>
                </c:pt>
                <c:pt idx="100">
                  <c:v>8.0712231029029594E-2</c:v>
                </c:pt>
                <c:pt idx="101">
                  <c:v>6.2848761023967567E-2</c:v>
                </c:pt>
                <c:pt idx="102">
                  <c:v>4.8117538888072096E-2</c:v>
                </c:pt>
                <c:pt idx="103">
                  <c:v>3.6518564632001323E-2</c:v>
                </c:pt>
                <c:pt idx="104">
                  <c:v>2.8051838255755256E-2</c:v>
                </c:pt>
                <c:pt idx="105">
                  <c:v>2.2717359748675746E-2</c:v>
                </c:pt>
                <c:pt idx="106">
                  <c:v>2.051512912675001E-2</c:v>
                </c:pt>
                <c:pt idx="107">
                  <c:v>2.1445146384648971E-2</c:v>
                </c:pt>
                <c:pt idx="108">
                  <c:v>2.5507411517043565E-2</c:v>
                </c:pt>
                <c:pt idx="109">
                  <c:v>3.2701924523933786E-2</c:v>
                </c:pt>
                <c:pt idx="110">
                  <c:v>4.3028685415977784E-2</c:v>
                </c:pt>
                <c:pt idx="111">
                  <c:v>5.5804103531745655E-2</c:v>
                </c:pt>
                <c:pt idx="112">
                  <c:v>6.7766500018802633E-2</c:v>
                </c:pt>
                <c:pt idx="113">
                  <c:v>7.8491702777025552E-2</c:v>
                </c:pt>
                <c:pt idx="114">
                  <c:v>8.7979711811743494E-2</c:v>
                </c:pt>
                <c:pt idx="115">
                  <c:v>9.6230527128285517E-2</c:v>
                </c:pt>
                <c:pt idx="116">
                  <c:v>0.10324414872132257</c:v>
                </c:pt>
                <c:pt idx="117">
                  <c:v>0.10902057659085462</c:v>
                </c:pt>
                <c:pt idx="118">
                  <c:v>0.11355981074221076</c:v>
                </c:pt>
                <c:pt idx="119">
                  <c:v>0.11686185116473286</c:v>
                </c:pt>
                <c:pt idx="120">
                  <c:v>0.11892669786907903</c:v>
                </c:pt>
                <c:pt idx="121">
                  <c:v>0.11975435084459116</c:v>
                </c:pt>
                <c:pt idx="122">
                  <c:v>0.11934484985146436</c:v>
                </c:pt>
                <c:pt idx="123">
                  <c:v>0.11775728164119195</c:v>
                </c:pt>
                <c:pt idx="124">
                  <c:v>0.11504487506976505</c:v>
                </c:pt>
                <c:pt idx="125">
                  <c:v>0.11120763012652549</c:v>
                </c:pt>
                <c:pt idx="126">
                  <c:v>0.10624554682213144</c:v>
                </c:pt>
                <c:pt idx="127">
                  <c:v>0.10015862515125383</c:v>
                </c:pt>
                <c:pt idx="128">
                  <c:v>9.2946865119221719E-2</c:v>
                </c:pt>
                <c:pt idx="129">
                  <c:v>8.461026672070604E-2</c:v>
                </c:pt>
                <c:pt idx="130">
                  <c:v>7.5148829955706792E-2</c:v>
                </c:pt>
                <c:pt idx="131">
                  <c:v>6.4562554829553045E-2</c:v>
                </c:pt>
                <c:pt idx="132">
                  <c:v>5.285144133691573E-2</c:v>
                </c:pt>
                <c:pt idx="133">
                  <c:v>4.0015489483123917E-2</c:v>
                </c:pt>
                <c:pt idx="134">
                  <c:v>2.7419718651076938E-2</c:v>
                </c:pt>
                <c:pt idx="135">
                  <c:v>1.9009383513178067E-2</c:v>
                </c:pt>
                <c:pt idx="136">
                  <c:v>1.5033349392450478E-2</c:v>
                </c:pt>
                <c:pt idx="137">
                  <c:v>1.5491616304881385E-2</c:v>
                </c:pt>
                <c:pt idx="138">
                  <c:v>2.0384184245141719E-2</c:v>
                </c:pt>
                <c:pt idx="139">
                  <c:v>2.9711053207902408E-2</c:v>
                </c:pt>
                <c:pt idx="140">
                  <c:v>4.3472223193163455E-2</c:v>
                </c:pt>
                <c:pt idx="141">
                  <c:v>6.1667694200924855E-2</c:v>
                </c:pt>
                <c:pt idx="142">
                  <c:v>8.4297466241844754E-2</c:v>
                </c:pt>
                <c:pt idx="143">
                  <c:v>0.111361539305265</c:v>
                </c:pt>
                <c:pt idx="144">
                  <c:v>0.14214801707326952</c:v>
                </c:pt>
                <c:pt idx="145">
                  <c:v>0.1682985061282192</c:v>
                </c:pt>
                <c:pt idx="146">
                  <c:v>0.1874043683064571</c:v>
                </c:pt>
                <c:pt idx="147">
                  <c:v>0.19946560361331228</c:v>
                </c:pt>
                <c:pt idx="148">
                  <c:v>0.20448221204878475</c:v>
                </c:pt>
                <c:pt idx="149">
                  <c:v>0.20245419360754546</c:v>
                </c:pt>
                <c:pt idx="150">
                  <c:v>0.1933815483002525</c:v>
                </c:pt>
                <c:pt idx="151">
                  <c:v>0.17726427611091872</c:v>
                </c:pt>
                <c:pt idx="152">
                  <c:v>0.15410237705553129</c:v>
                </c:pt>
                <c:pt idx="153">
                  <c:v>0.12575507696876606</c:v>
                </c:pt>
                <c:pt idx="154">
                  <c:v>0.10403769790504311</c:v>
                </c:pt>
                <c:pt idx="155">
                  <c:v>9.1033711318451602E-2</c:v>
                </c:pt>
                <c:pt idx="156">
                  <c:v>8.67431171983334E-2</c:v>
                </c:pt>
                <c:pt idx="157">
                  <c:v>9.1165915550017573E-2</c:v>
                </c:pt>
                <c:pt idx="158">
                  <c:v>0.10430210636817505</c:v>
                </c:pt>
                <c:pt idx="159">
                  <c:v>0.12615168965813492</c:v>
                </c:pt>
                <c:pt idx="160">
                  <c:v>0.1560222500095354</c:v>
                </c:pt>
                <c:pt idx="161">
                  <c:v>0.18222573144297197</c:v>
                </c:pt>
                <c:pt idx="162">
                  <c:v>0.20057629258347418</c:v>
                </c:pt>
                <c:pt idx="163">
                  <c:v>0.2110739334363711</c:v>
                </c:pt>
                <c:pt idx="164">
                  <c:v>0.21371865400166276</c:v>
                </c:pt>
                <c:pt idx="165">
                  <c:v>0.20851045427934917</c:v>
                </c:pt>
                <c:pt idx="166">
                  <c:v>0.19820119339941178</c:v>
                </c:pt>
                <c:pt idx="167">
                  <c:v>0.19090637631813898</c:v>
                </c:pt>
                <c:pt idx="168">
                  <c:v>0.18715653211754521</c:v>
                </c:pt>
                <c:pt idx="169">
                  <c:v>0.18695166078164327</c:v>
                </c:pt>
                <c:pt idx="170">
                  <c:v>0.19395199220038553</c:v>
                </c:pt>
                <c:pt idx="171">
                  <c:v>0.23122287557837556</c:v>
                </c:pt>
                <c:pt idx="172">
                  <c:v>0.30279859922181812</c:v>
                </c:pt>
                <c:pt idx="173">
                  <c:v>0.4081000678203251</c:v>
                </c:pt>
                <c:pt idx="174">
                  <c:v>0.54177053780235751</c:v>
                </c:pt>
                <c:pt idx="175">
                  <c:v>0.7029249762302866</c:v>
                </c:pt>
                <c:pt idx="176">
                  <c:v>0.90980494447540072</c:v>
                </c:pt>
                <c:pt idx="177">
                  <c:v>1.173630053122616</c:v>
                </c:pt>
                <c:pt idx="178">
                  <c:v>1.4869333399018845</c:v>
                </c:pt>
                <c:pt idx="179">
                  <c:v>1.7410741538706376</c:v>
                </c:pt>
                <c:pt idx="180">
                  <c:v>1.8860715306788145</c:v>
                </c:pt>
                <c:pt idx="181">
                  <c:v>1.7587843729544086</c:v>
                </c:pt>
                <c:pt idx="182">
                  <c:v>1.4629190269629937</c:v>
                </c:pt>
                <c:pt idx="183">
                  <c:v>1.127611491189517</c:v>
                </c:pt>
                <c:pt idx="184">
                  <c:v>0.84025482556130038</c:v>
                </c:pt>
                <c:pt idx="185">
                  <c:v>0.58889184507586445</c:v>
                </c:pt>
                <c:pt idx="186">
                  <c:v>0.42523677922006986</c:v>
                </c:pt>
                <c:pt idx="187">
                  <c:v>0.36214371223396807</c:v>
                </c:pt>
                <c:pt idx="188">
                  <c:v>0.32462843519333029</c:v>
                </c:pt>
                <c:pt idx="189">
                  <c:v>0.2816251862835879</c:v>
                </c:pt>
                <c:pt idx="190">
                  <c:v>0.23370962776395224</c:v>
                </c:pt>
                <c:pt idx="191">
                  <c:v>0.19059318224478736</c:v>
                </c:pt>
                <c:pt idx="192">
                  <c:v>0.15575267388810204</c:v>
                </c:pt>
                <c:pt idx="193">
                  <c:v>0.12918810270455447</c:v>
                </c:pt>
                <c:pt idx="194">
                  <c:v>0.11086572214192432</c:v>
                </c:pt>
                <c:pt idx="195">
                  <c:v>9.8232893608968364E-2</c:v>
                </c:pt>
                <c:pt idx="196">
                  <c:v>8.9697807807932864E-2</c:v>
                </c:pt>
                <c:pt idx="197">
                  <c:v>8.5260464738817807E-2</c:v>
                </c:pt>
                <c:pt idx="198">
                  <c:v>8.4920864422939488E-2</c:v>
                </c:pt>
                <c:pt idx="199">
                  <c:v>8.8679006838981625E-2</c:v>
                </c:pt>
                <c:pt idx="200">
                  <c:v>9.6324721332724614E-2</c:v>
                </c:pt>
                <c:pt idx="201">
                  <c:v>0.10520770647510552</c:v>
                </c:pt>
                <c:pt idx="202">
                  <c:v>0.11452798500833059</c:v>
                </c:pt>
                <c:pt idx="203">
                  <c:v>0.12428555692174166</c:v>
                </c:pt>
                <c:pt idx="204">
                  <c:v>0.13448042224731316</c:v>
                </c:pt>
                <c:pt idx="205">
                  <c:v>0.14511258096372884</c:v>
                </c:pt>
                <c:pt idx="206">
                  <c:v>0.15618203307098866</c:v>
                </c:pt>
                <c:pt idx="207">
                  <c:v>0.16768877857975079</c:v>
                </c:pt>
                <c:pt idx="208">
                  <c:v>0.17928424304070023</c:v>
                </c:pt>
                <c:pt idx="209">
                  <c:v>0.18811037834091235</c:v>
                </c:pt>
                <c:pt idx="210">
                  <c:v>0.19353517076433999</c:v>
                </c:pt>
                <c:pt idx="211">
                  <c:v>0.19555862030032503</c:v>
                </c:pt>
                <c:pt idx="212">
                  <c:v>0.19418072699150002</c:v>
                </c:pt>
                <c:pt idx="213">
                  <c:v>0.18940149078457427</c:v>
                </c:pt>
                <c:pt idx="214">
                  <c:v>0.18122091171152219</c:v>
                </c:pt>
                <c:pt idx="215">
                  <c:v>0.16963898975102751</c:v>
                </c:pt>
                <c:pt idx="216">
                  <c:v>0.15465572493506463</c:v>
                </c:pt>
                <c:pt idx="217">
                  <c:v>0.13627111724231727</c:v>
                </c:pt>
                <c:pt idx="218">
                  <c:v>0.11448516666212732</c:v>
                </c:pt>
                <c:pt idx="219">
                  <c:v>9.1433982713159251E-2</c:v>
                </c:pt>
                <c:pt idx="220">
                  <c:v>7.0864023920266972E-2</c:v>
                </c:pt>
                <c:pt idx="221">
                  <c:v>5.2844760057385906E-2</c:v>
                </c:pt>
                <c:pt idx="222">
                  <c:v>3.7376191124516053E-2</c:v>
                </c:pt>
                <c:pt idx="223">
                  <c:v>2.4458317110999279E-2</c:v>
                </c:pt>
                <c:pt idx="224">
                  <c:v>1.4091138048810002E-2</c:v>
                </c:pt>
                <c:pt idx="225">
                  <c:v>6.2746539059737993E-3</c:v>
                </c:pt>
                <c:pt idx="226">
                  <c:v>1.0088647038069517E-3</c:v>
                </c:pt>
                <c:pt idx="227">
                  <c:v>-1.70622956834868E-3</c:v>
                </c:pt>
                <c:pt idx="228">
                  <c:v>-1.8706289104930963E-3</c:v>
                </c:pt>
                <c:pt idx="229">
                  <c:v>5.1566667737370272E-4</c:v>
                </c:pt>
                <c:pt idx="230">
                  <c:v>5.4526571952517172E-3</c:v>
                </c:pt>
                <c:pt idx="231">
                  <c:v>1.2940342653799088E-2</c:v>
                </c:pt>
                <c:pt idx="232">
                  <c:v>2.2972723787930929E-2</c:v>
                </c:pt>
                <c:pt idx="233">
                  <c:v>3.3587128141033221E-2</c:v>
                </c:pt>
                <c:pt idx="234">
                  <c:v>4.3214911810288525E-2</c:v>
                </c:pt>
                <c:pt idx="235">
                  <c:v>5.1856074795696837E-2</c:v>
                </c:pt>
                <c:pt idx="236">
                  <c:v>5.9510617097258169E-2</c:v>
                </c:pt>
                <c:pt idx="237">
                  <c:v>6.6178538714972507E-2</c:v>
                </c:pt>
                <c:pt idx="238">
                  <c:v>7.1859839659497993E-2</c:v>
                </c:pt>
                <c:pt idx="239">
                  <c:v>7.6554519909518365E-2</c:v>
                </c:pt>
                <c:pt idx="240">
                  <c:v>8.0262579475691737E-2</c:v>
                </c:pt>
                <c:pt idx="241">
                  <c:v>8.2984018368676263E-2</c:v>
                </c:pt>
                <c:pt idx="242">
                  <c:v>8.4718836567155675E-2</c:v>
                </c:pt>
                <c:pt idx="243">
                  <c:v>8.5467034081788087E-2</c:v>
                </c:pt>
                <c:pt idx="244">
                  <c:v>8.5228610923231654E-2</c:v>
                </c:pt>
                <c:pt idx="245">
                  <c:v>8.4003567070170079E-2</c:v>
                </c:pt>
                <c:pt idx="246">
                  <c:v>8.1791902533261532E-2</c:v>
                </c:pt>
                <c:pt idx="247">
                  <c:v>7.8593617323164139E-2</c:v>
                </c:pt>
                <c:pt idx="248">
                  <c:v>7.4408711418561618E-2</c:v>
                </c:pt>
                <c:pt idx="249">
                  <c:v>6.9237184840770238E-2</c:v>
                </c:pt>
                <c:pt idx="250">
                  <c:v>6.3243520832820685E-2</c:v>
                </c:pt>
                <c:pt idx="251">
                  <c:v>5.7443612449754426E-2</c:v>
                </c:pt>
                <c:pt idx="252">
                  <c:v>5.2011701315372527E-2</c:v>
                </c:pt>
                <c:pt idx="253">
                  <c:v>4.694778741901684E-2</c:v>
                </c:pt>
                <c:pt idx="254">
                  <c:v>4.2251870782003653E-2</c:v>
                </c:pt>
                <c:pt idx="255">
                  <c:v>3.7923951372358544E-2</c:v>
                </c:pt>
                <c:pt idx="256">
                  <c:v>3.3964029222055929E-2</c:v>
                </c:pt>
                <c:pt idx="257">
                  <c:v>3.0372104309779529E-2</c:v>
                </c:pt>
                <c:pt idx="258">
                  <c:v>2.7148176635529341E-2</c:v>
                </c:pt>
                <c:pt idx="259">
                  <c:v>2.4292246209963512E-2</c:v>
                </c:pt>
                <c:pt idx="260">
                  <c:v>2.1804313033082039E-2</c:v>
                </c:pt>
                <c:pt idx="261">
                  <c:v>1.9684377083568641E-2</c:v>
                </c:pt>
                <c:pt idx="262">
                  <c:v>1.793243839339774E-2</c:v>
                </c:pt>
                <c:pt idx="263">
                  <c:v>1.6548496951911192E-2</c:v>
                </c:pt>
                <c:pt idx="264">
                  <c:v>1.5532552748450862E-2</c:v>
                </c:pt>
                <c:pt idx="265">
                  <c:v>1.4884605783016746E-2</c:v>
                </c:pt>
                <c:pt idx="266">
                  <c:v>1.4604656066266986E-2</c:v>
                </c:pt>
                <c:pt idx="267">
                  <c:v>1.4692703587543442E-2</c:v>
                </c:pt>
                <c:pt idx="268">
                  <c:v>1.5148748368162395E-2</c:v>
                </c:pt>
                <c:pt idx="269">
                  <c:v>1.5972790386807562E-2</c:v>
                </c:pt>
                <c:pt idx="270">
                  <c:v>1.7164829643478943E-2</c:v>
                </c:pt>
                <c:pt idx="271">
                  <c:v>1.8724866148834684E-2</c:v>
                </c:pt>
                <c:pt idx="272">
                  <c:v>2.0626547073621892E-2</c:v>
                </c:pt>
                <c:pt idx="273">
                  <c:v>2.2551639148761432E-2</c:v>
                </c:pt>
                <c:pt idx="274">
                  <c:v>2.4406726613790182E-2</c:v>
                </c:pt>
                <c:pt idx="275">
                  <c:v>2.6191809447391856E-2</c:v>
                </c:pt>
                <c:pt idx="276">
                  <c:v>2.7906887649566458E-2</c:v>
                </c:pt>
                <c:pt idx="277">
                  <c:v>2.9551961241630269E-2</c:v>
                </c:pt>
                <c:pt idx="278">
                  <c:v>3.1127030202267005E-2</c:v>
                </c:pt>
                <c:pt idx="279">
                  <c:v>3.2632094552792951E-2</c:v>
                </c:pt>
                <c:pt idx="280">
                  <c:v>3.4067154282549965E-2</c:v>
                </c:pt>
                <c:pt idx="281">
                  <c:v>3.5432209391538051E-2</c:v>
                </c:pt>
                <c:pt idx="282">
                  <c:v>3.6727259879757203E-2</c:v>
                </c:pt>
                <c:pt idx="283">
                  <c:v>3.7952305736549279E-2</c:v>
                </c:pt>
                <c:pt idx="284">
                  <c:v>3.9107346983230561E-2</c:v>
                </c:pt>
                <c:pt idx="285">
                  <c:v>4.0192383609142915E-2</c:v>
                </c:pt>
                <c:pt idx="286">
                  <c:v>4.1207415614286341E-2</c:v>
                </c:pt>
                <c:pt idx="287">
                  <c:v>4.2152442988002685E-2</c:v>
                </c:pt>
                <c:pt idx="288">
                  <c:v>4.3027465740950108E-2</c:v>
                </c:pt>
                <c:pt idx="289">
                  <c:v>4.3832483894444871E-2</c:v>
                </c:pt>
                <c:pt idx="290">
                  <c:v>4.4567497405854424E-2</c:v>
                </c:pt>
                <c:pt idx="291">
                  <c:v>4.5232506296495043E-2</c:v>
                </c:pt>
                <c:pt idx="292">
                  <c:v>4.5827510577024874E-2</c:v>
                </c:pt>
                <c:pt idx="293">
                  <c:v>4.6352510236785771E-2</c:v>
                </c:pt>
                <c:pt idx="294">
                  <c:v>4.6807505265119592E-2</c:v>
                </c:pt>
                <c:pt idx="295">
                  <c:v>4.7192495672684485E-2</c:v>
                </c:pt>
                <c:pt idx="296">
                  <c:v>4.7507481470138585E-2</c:v>
                </c:pt>
                <c:pt idx="297">
                  <c:v>4.775246264682375E-2</c:v>
                </c:pt>
                <c:pt idx="298">
                  <c:v>4.7927439192081846E-2</c:v>
                </c:pt>
                <c:pt idx="299">
                  <c:v>4.8032411127229155E-2</c:v>
                </c:pt>
                <c:pt idx="300">
                  <c:v>4.8067378430949381E-2</c:v>
                </c:pt>
              </c:numCache>
            </c:numRef>
          </c:yVal>
          <c:smooth val="1"/>
        </c:ser>
        <c:ser>
          <c:idx val="0"/>
          <c:order val="1"/>
          <c:tx>
            <c:v>2nd derivative</c:v>
          </c:tx>
          <c:spPr>
            <a:ln w="25400">
              <a:solidFill>
                <a:srgbClr val="09007E"/>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Evaluation!$W$6:$W$306</c:f>
              <c:numCache>
                <c:formatCode>0.0000</c:formatCode>
                <c:ptCount val="301"/>
                <c:pt idx="0">
                  <c:v>0</c:v>
                </c:pt>
                <c:pt idx="1">
                  <c:v>1.1356915408639271E-3</c:v>
                </c:pt>
                <c:pt idx="2">
                  <c:v>2.2713830817486708E-3</c:v>
                </c:pt>
                <c:pt idx="3">
                  <c:v>3.4070746226334148E-3</c:v>
                </c:pt>
                <c:pt idx="4">
                  <c:v>4.5427581698915644E-3</c:v>
                </c:pt>
                <c:pt idx="5">
                  <c:v>5.6784577043820861E-3</c:v>
                </c:pt>
                <c:pt idx="6">
                  <c:v>6.8141332580552742E-3</c:v>
                </c:pt>
                <c:pt idx="7">
                  <c:v>7.9498327925249784E-3</c:v>
                </c:pt>
                <c:pt idx="8">
                  <c:v>9.0855163398039455E-3</c:v>
                </c:pt>
                <c:pt idx="9">
                  <c:v>1.0221191893477134E-2</c:v>
                </c:pt>
                <c:pt idx="10">
                  <c:v>1.1356891427946839E-2</c:v>
                </c:pt>
                <c:pt idx="11">
                  <c:v>1.2492574975225806E-2</c:v>
                </c:pt>
                <c:pt idx="12">
                  <c:v>1.3628258522463138E-2</c:v>
                </c:pt>
                <c:pt idx="13">
                  <c:v>1.4569841334252029E-2</c:v>
                </c:pt>
                <c:pt idx="14">
                  <c:v>1.4270760574085604E-2</c:v>
                </c:pt>
                <c:pt idx="15">
                  <c:v>1.3971647839496067E-2</c:v>
                </c:pt>
                <c:pt idx="16">
                  <c:v>1.3672559085682229E-2</c:v>
                </c:pt>
                <c:pt idx="17">
                  <c:v>1.337346233830425E-2</c:v>
                </c:pt>
                <c:pt idx="18">
                  <c:v>1.3074373584532046E-2</c:v>
                </c:pt>
                <c:pt idx="19">
                  <c:v>1.2775276837154065E-2</c:v>
                </c:pt>
                <c:pt idx="20">
                  <c:v>1.2476180089734451E-2</c:v>
                </c:pt>
                <c:pt idx="21">
                  <c:v>1.2177075348750692E-2</c:v>
                </c:pt>
                <c:pt idx="22">
                  <c:v>1.1877986595020122E-2</c:v>
                </c:pt>
                <c:pt idx="23">
                  <c:v>1.1578889847600507E-2</c:v>
                </c:pt>
                <c:pt idx="24">
                  <c:v>1.1279793100222526E-2</c:v>
                </c:pt>
                <c:pt idx="25">
                  <c:v>5.1898725320476662E-3</c:v>
                </c:pt>
                <c:pt idx="26">
                  <c:v>-1.0789928950630634E-3</c:v>
                </c:pt>
                <c:pt idx="27">
                  <c:v>-7.3478583222570601E-3</c:v>
                </c:pt>
                <c:pt idx="28">
                  <c:v>-1.3616715755762013E-2</c:v>
                </c:pt>
                <c:pt idx="29">
                  <c:v>-1.9885581182872744E-2</c:v>
                </c:pt>
                <c:pt idx="30">
                  <c:v>-2.6154438616377694E-2</c:v>
                </c:pt>
                <c:pt idx="31">
                  <c:v>-3.2423288056276874E-2</c:v>
                </c:pt>
                <c:pt idx="32">
                  <c:v>-3.8692161477035011E-2</c:v>
                </c:pt>
                <c:pt idx="33">
                  <c:v>-4.4961018910539961E-2</c:v>
                </c:pt>
                <c:pt idx="34">
                  <c:v>-2.9735821806616828E-2</c:v>
                </c:pt>
                <c:pt idx="35">
                  <c:v>-8.2399447270298295E-3</c:v>
                </c:pt>
                <c:pt idx="36">
                  <c:v>1.325592435897221E-2</c:v>
                </c:pt>
                <c:pt idx="37">
                  <c:v>3.4751793444932615E-2</c:v>
                </c:pt>
                <c:pt idx="38">
                  <c:v>5.6247686511731169E-2</c:v>
                </c:pt>
                <c:pt idx="39">
                  <c:v>7.7743555597712385E-2</c:v>
                </c:pt>
                <c:pt idx="40">
                  <c:v>9.9239424683735242E-2</c:v>
                </c:pt>
                <c:pt idx="41">
                  <c:v>9.8179232749377676E-2</c:v>
                </c:pt>
                <c:pt idx="42">
                  <c:v>7.6963547539546429E-2</c:v>
                </c:pt>
                <c:pt idx="43">
                  <c:v>5.5747854336026123E-2</c:v>
                </c:pt>
                <c:pt idx="44">
                  <c:v>3.4532161132589098E-2</c:v>
                </c:pt>
                <c:pt idx="45">
                  <c:v>1.3316475922674577E-2</c:v>
                </c:pt>
                <c:pt idx="46">
                  <c:v>-7.4464194814107846E-3</c:v>
                </c:pt>
                <c:pt idx="47">
                  <c:v>-1.9629418092375695E-3</c:v>
                </c:pt>
                <c:pt idx="48">
                  <c:v>3.5205438567079569E-3</c:v>
                </c:pt>
                <c:pt idx="49">
                  <c:v>9.0040135352753951E-3</c:v>
                </c:pt>
                <c:pt idx="50">
                  <c:v>1.4487499201137654E-2</c:v>
                </c:pt>
                <c:pt idx="51">
                  <c:v>9.7471542842681058E-2</c:v>
                </c:pt>
                <c:pt idx="52">
                  <c:v>0.18566756932976952</c:v>
                </c:pt>
                <c:pt idx="53">
                  <c:v>0.2738636038106303</c:v>
                </c:pt>
                <c:pt idx="54">
                  <c:v>0.37027138957086025</c:v>
                </c:pt>
                <c:pt idx="55">
                  <c:v>0.46688793633957631</c:v>
                </c:pt>
                <c:pt idx="56">
                  <c:v>0.69034921783128422</c:v>
                </c:pt>
                <c:pt idx="57">
                  <c:v>0.89306457434413911</c:v>
                </c:pt>
                <c:pt idx="58">
                  <c:v>0.93282872631778413</c:v>
                </c:pt>
                <c:pt idx="59">
                  <c:v>0.59354294282960496</c:v>
                </c:pt>
                <c:pt idx="60">
                  <c:v>0.22271555800905488</c:v>
                </c:pt>
                <c:pt idx="61">
                  <c:v>-0.78250398165659352</c:v>
                </c:pt>
                <c:pt idx="62">
                  <c:v>-0.98358313499645067</c:v>
                </c:pt>
                <c:pt idx="63">
                  <c:v>-0.85845505109450193</c:v>
                </c:pt>
                <c:pt idx="64">
                  <c:v>-0.68580395766290925</c:v>
                </c:pt>
                <c:pt idx="65">
                  <c:v>-0.49326438936306899</c:v>
                </c:pt>
                <c:pt idx="66">
                  <c:v>-0.34663966099533694</c:v>
                </c:pt>
                <c:pt idx="67">
                  <c:v>-0.25733239540747888</c:v>
                </c:pt>
                <c:pt idx="68">
                  <c:v>-0.16917726420754825</c:v>
                </c:pt>
                <c:pt idx="69">
                  <c:v>-0.12883869971633535</c:v>
                </c:pt>
                <c:pt idx="70">
                  <c:v>-8.8500135225372215E-2</c:v>
                </c:pt>
                <c:pt idx="71">
                  <c:v>-4.8161602708665679E-2</c:v>
                </c:pt>
                <c:pt idx="72">
                  <c:v>-3.5146525691833012E-2</c:v>
                </c:pt>
                <c:pt idx="73">
                  <c:v>-3.6855318798979672E-2</c:v>
                </c:pt>
                <c:pt idx="74">
                  <c:v>-3.8564111906043065E-2</c:v>
                </c:pt>
                <c:pt idx="75">
                  <c:v>-4.0272905013189725E-2</c:v>
                </c:pt>
                <c:pt idx="76">
                  <c:v>-4.1655191298747243E-2</c:v>
                </c:pt>
                <c:pt idx="77">
                  <c:v>-3.3218132246765938E-2</c:v>
                </c:pt>
                <c:pt idx="78">
                  <c:v>-2.4781073194951174E-2</c:v>
                </c:pt>
                <c:pt idx="79">
                  <c:v>-1.634398216863003E-2</c:v>
                </c:pt>
                <c:pt idx="80">
                  <c:v>-7.906907129520439E-3</c:v>
                </c:pt>
                <c:pt idx="81">
                  <c:v>5.3016790958914978E-4</c:v>
                </c:pt>
                <c:pt idx="82">
                  <c:v>8.9672429486987396E-3</c:v>
                </c:pt>
                <c:pt idx="83">
                  <c:v>1.066673149872035E-2</c:v>
                </c:pt>
                <c:pt idx="84">
                  <c:v>1.147729911177383E-2</c:v>
                </c:pt>
                <c:pt idx="85">
                  <c:v>1.2287882712122132E-2</c:v>
                </c:pt>
                <c:pt idx="86">
                  <c:v>1.3098466312303899E-2</c:v>
                </c:pt>
                <c:pt idx="87">
                  <c:v>1.3909033925357379E-2</c:v>
                </c:pt>
                <c:pt idx="88">
                  <c:v>1.4719617525705679E-2</c:v>
                </c:pt>
                <c:pt idx="89">
                  <c:v>1.5530185138759159E-2</c:v>
                </c:pt>
                <c:pt idx="90">
                  <c:v>1.623303092043786E-2</c:v>
                </c:pt>
                <c:pt idx="91">
                  <c:v>7.9872268802898324E-3</c:v>
                </c:pt>
                <c:pt idx="92">
                  <c:v>-2.5856117248010732E-4</c:v>
                </c:pt>
                <c:pt idx="93">
                  <c:v>-8.5043492253333141E-3</c:v>
                </c:pt>
                <c:pt idx="94">
                  <c:v>-1.6750121290974966E-2</c:v>
                </c:pt>
                <c:pt idx="95">
                  <c:v>-2.4995909343828171E-2</c:v>
                </c:pt>
                <c:pt idx="96">
                  <c:v>-3.3241713383809664E-2</c:v>
                </c:pt>
                <c:pt idx="97">
                  <c:v>-4.1487485449534581E-2</c:v>
                </c:pt>
                <c:pt idx="98">
                  <c:v>-4.9733257515134605E-2</c:v>
                </c:pt>
                <c:pt idx="99">
                  <c:v>-5.7979045567987809E-2</c:v>
                </c:pt>
                <c:pt idx="100">
                  <c:v>-5.8293498032064434E-2</c:v>
                </c:pt>
                <c:pt idx="101">
                  <c:v>-4.8896710683262505E-2</c:v>
                </c:pt>
                <c:pt idx="102">
                  <c:v>-3.9499987283327612E-2</c:v>
                </c:pt>
                <c:pt idx="103">
                  <c:v>-3.0103231908969613E-2</c:v>
                </c:pt>
                <c:pt idx="104">
                  <c:v>-2.0706492521823168E-2</c:v>
                </c:pt>
                <c:pt idx="105">
                  <c:v>-1.1309769121888278E-2</c:v>
                </c:pt>
                <c:pt idx="106">
                  <c:v>-1.9130137475198686E-3</c:v>
                </c:pt>
                <c:pt idx="107">
                  <c:v>7.4837256396265766E-3</c:v>
                </c:pt>
                <c:pt idx="108">
                  <c:v>1.6880481013984577E-2</c:v>
                </c:pt>
                <c:pt idx="109">
                  <c:v>2.6277204413929875E-2</c:v>
                </c:pt>
                <c:pt idx="110">
                  <c:v>3.5673959788287878E-2</c:v>
                </c:pt>
                <c:pt idx="111">
                  <c:v>3.7744815275480521E-2</c:v>
                </c:pt>
                <c:pt idx="112">
                  <c:v>3.403325621519588E-2</c:v>
                </c:pt>
                <c:pt idx="113">
                  <c:v>3.0321665180446499E-2</c:v>
                </c:pt>
                <c:pt idx="114">
                  <c:v>2.6610074145738755E-2</c:v>
                </c:pt>
                <c:pt idx="115">
                  <c:v>2.2898499098200929E-2</c:v>
                </c:pt>
                <c:pt idx="116">
                  <c:v>1.9186924050704737E-2</c:v>
                </c:pt>
                <c:pt idx="117">
                  <c:v>1.5475349003166911E-2</c:v>
                </c:pt>
                <c:pt idx="118">
                  <c:v>1.1763789942840641E-2</c:v>
                </c:pt>
                <c:pt idx="119">
                  <c:v>8.0521829209213389E-3</c:v>
                </c:pt>
                <c:pt idx="120">
                  <c:v>4.3406238605950683E-3</c:v>
                </c:pt>
                <c:pt idx="121">
                  <c:v>6.2901683863413244E-4</c:v>
                </c:pt>
                <c:pt idx="122">
                  <c:v>-3.0737812297183275E-3</c:v>
                </c:pt>
                <c:pt idx="123">
                  <c:v>-6.448281908787476E-3</c:v>
                </c:pt>
                <c:pt idx="124">
                  <c:v>-9.8227825878566231E-3</c:v>
                </c:pt>
                <c:pt idx="125">
                  <c:v>-1.3197315241432148E-2</c:v>
                </c:pt>
                <c:pt idx="126">
                  <c:v>-1.6571815920501297E-2</c:v>
                </c:pt>
                <c:pt idx="127">
                  <c:v>-1.9946348573993553E-2</c:v>
                </c:pt>
                <c:pt idx="128">
                  <c:v>-2.3320849253062704E-2</c:v>
                </c:pt>
                <c:pt idx="129">
                  <c:v>-2.6695365919343406E-2</c:v>
                </c:pt>
                <c:pt idx="130">
                  <c:v>-3.0069882585665741E-2</c:v>
                </c:pt>
                <c:pt idx="131">
                  <c:v>-3.3444399251946443E-2</c:v>
                </c:pt>
                <c:pt idx="132">
                  <c:v>-3.6818915918268781E-2</c:v>
                </c:pt>
                <c:pt idx="133">
                  <c:v>-4.0193416597358748E-2</c:v>
                </c:pt>
                <c:pt idx="134">
                  <c:v>-3.1889099362992029E-2</c:v>
                </c:pt>
                <c:pt idx="135">
                  <c:v>-1.8586188589269886E-2</c:v>
                </c:pt>
                <c:pt idx="136">
                  <c:v>-5.2833097899656466E-3</c:v>
                </c:pt>
                <c:pt idx="137">
                  <c:v>8.0195849965449435E-3</c:v>
                </c:pt>
                <c:pt idx="138">
                  <c:v>2.1322511757473437E-2</c:v>
                </c:pt>
                <c:pt idx="139">
                  <c:v>3.4625422531205992E-2</c:v>
                </c:pt>
                <c:pt idx="140">
                  <c:v>4.792831731771658E-2</c:v>
                </c:pt>
                <c:pt idx="141">
                  <c:v>6.1231212104237577E-2</c:v>
                </c:pt>
                <c:pt idx="142">
                  <c:v>7.4534122877949319E-2</c:v>
                </c:pt>
                <c:pt idx="143">
                  <c:v>8.7837017664449499E-2</c:v>
                </c:pt>
                <c:pt idx="144">
                  <c:v>8.9028976196402293E-2</c:v>
                </c:pt>
                <c:pt idx="145">
                  <c:v>6.7895113535309887E-2</c:v>
                </c:pt>
                <c:pt idx="146">
                  <c:v>4.6761202912499536E-2</c:v>
                </c:pt>
                <c:pt idx="147">
                  <c:v>2.5627324264195565E-2</c:v>
                </c:pt>
                <c:pt idx="148">
                  <c:v>4.4934456158083249E-3</c:v>
                </c:pt>
                <c:pt idx="149">
                  <c:v>-1.6640433032495645E-2</c:v>
                </c:pt>
                <c:pt idx="150">
                  <c:v>-3.7774295693671328E-2</c:v>
                </c:pt>
                <c:pt idx="151">
                  <c:v>-5.8908190329186857E-2</c:v>
                </c:pt>
                <c:pt idx="152">
                  <c:v>-8.0042068977490832E-2</c:v>
                </c:pt>
                <c:pt idx="153">
                  <c:v>-7.8235306238017985E-2</c:v>
                </c:pt>
                <c:pt idx="154">
                  <c:v>-5.2095144201475693E-2</c:v>
                </c:pt>
                <c:pt idx="155">
                  <c:v>-2.5954950190593563E-2</c:v>
                </c:pt>
                <c:pt idx="156">
                  <c:v>1.8522783307701253E-4</c:v>
                </c:pt>
                <c:pt idx="157">
                  <c:v>2.6325405856747589E-2</c:v>
                </c:pt>
                <c:pt idx="158">
                  <c:v>5.2465583880418165E-2</c:v>
                </c:pt>
                <c:pt idx="159">
                  <c:v>7.8605761904088745E-2</c:v>
                </c:pt>
                <c:pt idx="160">
                  <c:v>9.0401590218885733E-2</c:v>
                </c:pt>
                <c:pt idx="161">
                  <c:v>6.6842851257966893E-2</c:v>
                </c:pt>
                <c:pt idx="162">
                  <c:v>4.3284080322541676E-2</c:v>
                </c:pt>
                <c:pt idx="163">
                  <c:v>1.972530938703319E-2</c:v>
                </c:pt>
                <c:pt idx="164">
                  <c:v>-3.8334295740521836E-3</c:v>
                </c:pt>
                <c:pt idx="165">
                  <c:v>-2.7392184522265845E-2</c:v>
                </c:pt>
                <c:pt idx="166">
                  <c:v>-2.7207228471785271E-2</c:v>
                </c:pt>
                <c:pt idx="167">
                  <c:v>-1.6572311524059503E-2</c:v>
                </c:pt>
                <c:pt idx="168">
                  <c:v>-5.9373626019106271E-3</c:v>
                </c:pt>
                <c:pt idx="169">
                  <c:v>4.6975223713087624E-3</c:v>
                </c:pt>
                <c:pt idx="170">
                  <c:v>6.0303921859662185E-2</c:v>
                </c:pt>
                <c:pt idx="171">
                  <c:v>0.16321844676764746</c:v>
                </c:pt>
                <c:pt idx="172">
                  <c:v>0.2661329716757993</c:v>
                </c:pt>
                <c:pt idx="173">
                  <c:v>0.36037179642500405</c:v>
                </c:pt>
                <c:pt idx="174">
                  <c:v>0.4415697887593944</c:v>
                </c:pt>
                <c:pt idx="175">
                  <c:v>0.53734488861610485</c:v>
                </c:pt>
                <c:pt idx="176">
                  <c:v>0.70376853149261986</c:v>
                </c:pt>
                <c:pt idx="177">
                  <c:v>0.88539892223017402</c:v>
                </c:pt>
                <c:pt idx="178">
                  <c:v>0.89054952217687011</c:v>
                </c:pt>
                <c:pt idx="179">
                  <c:v>0.62336212995066753</c:v>
                </c:pt>
                <c:pt idx="180">
                  <c:v>7.1463283295073857E-2</c:v>
                </c:pt>
                <c:pt idx="181">
                  <c:v>-0.70885470297674902</c:v>
                </c:pt>
                <c:pt idx="182">
                  <c:v>-1.0281218437201993</c:v>
                </c:pt>
                <c:pt idx="183">
                  <c:v>-0.92409424118169936</c:v>
                </c:pt>
                <c:pt idx="184">
                  <c:v>-0.813277701231096</c:v>
                </c:pt>
                <c:pt idx="185">
                  <c:v>-0.64693888649909215</c:v>
                </c:pt>
                <c:pt idx="186">
                  <c:v>-0.33530311329409396</c:v>
                </c:pt>
                <c:pt idx="187">
                  <c:v>-0.10430562014710965</c:v>
                </c:pt>
                <c:pt idx="188">
                  <c:v>-0.12076953837682579</c:v>
                </c:pt>
                <c:pt idx="189">
                  <c:v>-0.13723345660654193</c:v>
                </c:pt>
                <c:pt idx="190">
                  <c:v>-0.14177561525604182</c:v>
                </c:pt>
                <c:pt idx="191">
                  <c:v>-0.11694785940326657</c:v>
                </c:pt>
                <c:pt idx="192">
                  <c:v>-9.2120071576234766E-2</c:v>
                </c:pt>
                <c:pt idx="193">
                  <c:v>-6.729218782585035E-2</c:v>
                </c:pt>
                <c:pt idx="194">
                  <c:v>-4.4051258643393071E-2</c:v>
                </c:pt>
                <c:pt idx="195">
                  <c:v>-3.1757956266637036E-2</c:v>
                </c:pt>
                <c:pt idx="196">
                  <c:v>-1.9464749813108698E-2</c:v>
                </c:pt>
                <c:pt idx="197">
                  <c:v>-7.1715433595803645E-3</c:v>
                </c:pt>
                <c:pt idx="198">
                  <c:v>5.1216950683294479E-3</c:v>
                </c:pt>
                <c:pt idx="199">
                  <c:v>1.7414901521899416E-2</c:v>
                </c:pt>
                <c:pt idx="200">
                  <c:v>2.5992392240055531E-2</c:v>
                </c:pt>
                <c:pt idx="201">
                  <c:v>2.7304270845882897E-2</c:v>
                </c:pt>
                <c:pt idx="202">
                  <c:v>2.8616149451710263E-2</c:v>
                </c:pt>
                <c:pt idx="203">
                  <c:v>2.9927996083114517E-2</c:v>
                </c:pt>
                <c:pt idx="204">
                  <c:v>3.1239906663364993E-2</c:v>
                </c:pt>
                <c:pt idx="205">
                  <c:v>3.2551785269150722E-2</c:v>
                </c:pt>
                <c:pt idx="206">
                  <c:v>3.3863663875019726E-2</c:v>
                </c:pt>
                <c:pt idx="207">
                  <c:v>3.5175574455311831E-2</c:v>
                </c:pt>
                <c:pt idx="208">
                  <c:v>3.1585518202762446E-2</c:v>
                </c:pt>
                <c:pt idx="209">
                  <c:v>2.1381520555291966E-2</c:v>
                </c:pt>
                <c:pt idx="210">
                  <c:v>1.1177522907821492E-2</c:v>
                </c:pt>
                <c:pt idx="211">
                  <c:v>9.7342933716495247E-4</c:v>
                </c:pt>
                <c:pt idx="212">
                  <c:v>-9.2305363358824132E-3</c:v>
                </c:pt>
                <c:pt idx="213">
                  <c:v>-1.9434597932115844E-2</c:v>
                </c:pt>
                <c:pt idx="214">
                  <c:v>-2.963859557950305E-2</c:v>
                </c:pt>
                <c:pt idx="215">
                  <c:v>-3.984268915024286E-2</c:v>
                </c:pt>
                <c:pt idx="216">
                  <c:v>-5.0046686797630066E-2</c:v>
                </c:pt>
                <c:pt idx="217">
                  <c:v>-6.0250716419523655E-2</c:v>
                </c:pt>
                <c:pt idx="218">
                  <c:v>-7.0454778015798719E-2</c:v>
                </c:pt>
                <c:pt idx="219">
                  <c:v>-6.5539733644030068E-2</c:v>
                </c:pt>
                <c:pt idx="220">
                  <c:v>-5.788764667948585E-2</c:v>
                </c:pt>
                <c:pt idx="221">
                  <c:v>-5.0235559714983266E-2</c:v>
                </c:pt>
                <c:pt idx="222">
                  <c:v>-4.2583472750480682E-2</c:v>
                </c:pt>
                <c:pt idx="223">
                  <c:v>-3.493141776038039E-2</c:v>
                </c:pt>
                <c:pt idx="224">
                  <c:v>-2.7279330795862197E-2</c:v>
                </c:pt>
                <c:pt idx="225">
                  <c:v>-1.9627275805764507E-2</c:v>
                </c:pt>
                <c:pt idx="226">
                  <c:v>-1.1975156866825801E-2</c:v>
                </c:pt>
                <c:pt idx="227">
                  <c:v>-4.3230699023082547E-3</c:v>
                </c:pt>
                <c:pt idx="228">
                  <c:v>3.329017062208642E-3</c:v>
                </c:pt>
                <c:pt idx="229">
                  <c:v>1.0981104026725863E-2</c:v>
                </c:pt>
                <c:pt idx="230">
                  <c:v>1.8633159016818675E-2</c:v>
                </c:pt>
                <c:pt idx="231">
                  <c:v>2.628530993018309E-2</c:v>
                </c:pt>
                <c:pt idx="232">
                  <c:v>3.3324639050197842E-2</c:v>
                </c:pt>
                <c:pt idx="233">
                  <c:v>3.0364766702798963E-2</c:v>
                </c:pt>
                <c:pt idx="234">
                  <c:v>2.7404894355431308E-2</c:v>
                </c:pt>
                <c:pt idx="235">
                  <c:v>2.4445022008022021E-2</c:v>
                </c:pt>
                <c:pt idx="236">
                  <c:v>2.1485181635056659E-2</c:v>
                </c:pt>
                <c:pt idx="237">
                  <c:v>1.8525309287668188E-2</c:v>
                </c:pt>
                <c:pt idx="238">
                  <c:v>1.5565468914702826E-2</c:v>
                </c:pt>
                <c:pt idx="239">
                  <c:v>1.2605596567314355E-2</c:v>
                </c:pt>
                <c:pt idx="240">
                  <c:v>9.6457242199258844E-3</c:v>
                </c:pt>
                <c:pt idx="241">
                  <c:v>6.6859158213419994E-3</c:v>
                </c:pt>
                <c:pt idx="242">
                  <c:v>3.7260114995720513E-3</c:v>
                </c:pt>
                <c:pt idx="243">
                  <c:v>7.6613915218358007E-4</c:v>
                </c:pt>
                <c:pt idx="244">
                  <c:v>-2.193669246358671E-3</c:v>
                </c:pt>
                <c:pt idx="245">
                  <c:v>-5.1535415937887753E-3</c:v>
                </c:pt>
                <c:pt idx="246">
                  <c:v>-8.1134459156003563E-3</c:v>
                </c:pt>
                <c:pt idx="247">
                  <c:v>-1.1073254314142609E-2</c:v>
                </c:pt>
                <c:pt idx="248">
                  <c:v>-1.4033158635954189E-2</c:v>
                </c:pt>
                <c:pt idx="249">
                  <c:v>-1.6992999008919551E-2</c:v>
                </c:pt>
                <c:pt idx="250">
                  <c:v>-1.7952263676646714E-2</c:v>
                </c:pt>
                <c:pt idx="251">
                  <c:v>-1.6848282769902263E-2</c:v>
                </c:pt>
                <c:pt idx="252">
                  <c:v>-1.5744301863157811E-2</c:v>
                </c:pt>
                <c:pt idx="253">
                  <c:v>-1.4640320956413362E-2</c:v>
                </c:pt>
                <c:pt idx="254">
                  <c:v>-1.3536308075224985E-2</c:v>
                </c:pt>
                <c:pt idx="255">
                  <c:v>-1.2432327168459717E-2</c:v>
                </c:pt>
                <c:pt idx="256">
                  <c:v>-1.1328314287292156E-2</c:v>
                </c:pt>
                <c:pt idx="257">
                  <c:v>-1.0224301406103779E-2</c:v>
                </c:pt>
                <c:pt idx="258">
                  <c:v>-9.1203524737824369E-3</c:v>
                </c:pt>
                <c:pt idx="259">
                  <c:v>-8.016339592604468E-3</c:v>
                </c:pt>
                <c:pt idx="260">
                  <c:v>-6.9123267114160909E-3</c:v>
                </c:pt>
                <c:pt idx="261">
                  <c:v>-5.8083777790843422E-3</c:v>
                </c:pt>
                <c:pt idx="262">
                  <c:v>-4.7043968723294834E-3</c:v>
                </c:pt>
                <c:pt idx="263">
                  <c:v>-3.6003520167284041E-3</c:v>
                </c:pt>
                <c:pt idx="264">
                  <c:v>-2.4963711099735449E-3</c:v>
                </c:pt>
                <c:pt idx="265">
                  <c:v>-1.3923902032186859E-3</c:v>
                </c:pt>
                <c:pt idx="266">
                  <c:v>-2.8840929646382679E-4</c:v>
                </c:pt>
                <c:pt idx="267">
                  <c:v>8.1557161029623636E-4</c:v>
                </c:pt>
                <c:pt idx="268">
                  <c:v>1.9195844914742055E-3</c:v>
                </c:pt>
                <c:pt idx="269">
                  <c:v>3.0235973726573787E-3</c:v>
                </c:pt>
                <c:pt idx="270">
                  <c:v>4.1275782794018296E-3</c:v>
                </c:pt>
                <c:pt idx="271">
                  <c:v>5.2315272117439866E-3</c:v>
                </c:pt>
                <c:pt idx="272">
                  <c:v>5.8803522055052562E-3</c:v>
                </c:pt>
                <c:pt idx="273">
                  <c:v>5.6703441945178887E-3</c:v>
                </c:pt>
                <c:pt idx="274">
                  <c:v>5.4604001323767422E-3</c:v>
                </c:pt>
                <c:pt idx="275">
                  <c:v>5.2503921213789663E-3</c:v>
                </c:pt>
                <c:pt idx="276">
                  <c:v>5.0403201615349703E-3</c:v>
                </c:pt>
                <c:pt idx="277">
                  <c:v>4.8303441249707138E-3</c:v>
                </c:pt>
                <c:pt idx="278">
                  <c:v>4.6202721651267178E-3</c:v>
                </c:pt>
                <c:pt idx="279">
                  <c:v>4.4102641541289419E-3</c:v>
                </c:pt>
                <c:pt idx="280">
                  <c:v>4.2002561431207586E-3</c:v>
                </c:pt>
                <c:pt idx="281">
                  <c:v>3.9902801065773178E-3</c:v>
                </c:pt>
                <c:pt idx="282">
                  <c:v>3.7802720955899508E-3</c:v>
                </c:pt>
                <c:pt idx="283">
                  <c:v>3.5702321101586565E-3</c:v>
                </c:pt>
                <c:pt idx="284">
                  <c:v>3.3602240991504728E-3</c:v>
                </c:pt>
                <c:pt idx="285">
                  <c:v>3.1502480625862157E-3</c:v>
                </c:pt>
                <c:pt idx="286">
                  <c:v>2.9402400515988482E-3</c:v>
                </c:pt>
                <c:pt idx="287">
                  <c:v>2.7301680917444443E-3</c:v>
                </c:pt>
                <c:pt idx="288">
                  <c:v>2.5201600807778935E-3</c:v>
                </c:pt>
                <c:pt idx="289">
                  <c:v>2.3101840441928198E-3</c:v>
                </c:pt>
                <c:pt idx="290">
                  <c:v>2.1001440587823427E-3</c:v>
                </c:pt>
                <c:pt idx="291">
                  <c:v>1.8901040733718651E-3</c:v>
                </c:pt>
                <c:pt idx="292">
                  <c:v>1.6801280368076081E-3</c:v>
                </c:pt>
                <c:pt idx="293">
                  <c:v>1.4701200257994241E-3</c:v>
                </c:pt>
                <c:pt idx="294">
                  <c:v>1.260112014812057E-3</c:v>
                </c:pt>
                <c:pt idx="295">
                  <c:v>1.0500400549784694E-3</c:v>
                </c:pt>
                <c:pt idx="296">
                  <c:v>8.4006401839339571E-4</c:v>
                </c:pt>
                <c:pt idx="297">
                  <c:v>6.3008798180832191E-4</c:v>
                </c:pt>
                <c:pt idx="298">
                  <c:v>4.2001602197473442E-4</c:v>
                </c:pt>
                <c:pt idx="299">
                  <c:v>2.1003998543129405E-4</c:v>
                </c:pt>
                <c:pt idx="300">
                  <c:v>0</c:v>
                </c:pt>
              </c:numCache>
            </c:numRef>
          </c:yVal>
          <c:smooth val="1"/>
        </c:ser>
        <c:axId val="277790720"/>
        <c:axId val="277792640"/>
      </c:scatterChart>
      <c:valAx>
        <c:axId val="277790720"/>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712969343681404"/>
              <c:y val="0.94387830831490882"/>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77792640"/>
        <c:crosses val="autoZero"/>
        <c:crossBetween val="midCat"/>
      </c:valAx>
      <c:valAx>
        <c:axId val="277792640"/>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dpH/dV</a:t>
                </a:r>
              </a:p>
            </c:rich>
          </c:tx>
          <c:layout>
            <c:manualLayout>
              <c:xMode val="edge"/>
              <c:yMode val="edge"/>
              <c:x val="1.0062924343926166E-2"/>
              <c:y val="0.45803498700593476"/>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77790720"/>
        <c:crosses val="autoZero"/>
        <c:crossBetween val="midCat"/>
      </c:valAx>
      <c:spPr>
        <a:noFill/>
        <a:ln w="12700">
          <a:solidFill>
            <a:srgbClr val="808080"/>
          </a:solidFill>
          <a:prstDash val="solid"/>
        </a:ln>
      </c:spPr>
    </c:plotArea>
    <c:legend>
      <c:legendPos val="r"/>
      <c:layout>
        <c:manualLayout>
          <c:xMode val="edge"/>
          <c:yMode val="edge"/>
          <c:wMode val="edge"/>
          <c:hMode val="edge"/>
          <c:x val="0.11021528334783116"/>
          <c:y val="1.2499903029362708E-2"/>
          <c:w val="0.5981192738282175"/>
          <c:h val="6.7499838382271179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7.4268600331771933E-2"/>
          <c:y val="7.7783091156850365E-2"/>
          <c:w val="0.88927174241301365"/>
          <c:h val="0.79885351684511363"/>
        </c:manualLayout>
      </c:layout>
      <c:scatterChart>
        <c:scatterStyle val="smoothMarker"/>
        <c:ser>
          <c:idx val="0"/>
          <c:order val="0"/>
          <c:tx>
            <c:v>raw data</c:v>
          </c:tx>
          <c:spPr>
            <a:ln w="28575">
              <a:noFill/>
            </a:ln>
          </c:spPr>
          <c:marker>
            <c:symbol val="diamond"/>
            <c:size val="4"/>
            <c:spPr>
              <a:solidFill>
                <a:srgbClr val="09007E"/>
              </a:solidFill>
              <a:ln>
                <a:solidFill>
                  <a:srgbClr val="09007E"/>
                </a:solidFill>
                <a:prstDash val="solid"/>
              </a:ln>
            </c:spPr>
          </c:marker>
          <c:xVal>
            <c:numRef>
              <c:f>Evaluation!$A$6:$A$281</c:f>
              <c:numCache>
                <c:formatCode>0.000</c:formatCode>
                <c:ptCount val="276"/>
                <c:pt idx="0">
                  <c:v>0</c:v>
                </c:pt>
                <c:pt idx="1">
                  <c:v>2.1441188422613777</c:v>
                </c:pt>
                <c:pt idx="2">
                  <c:v>4.004995925060939</c:v>
                </c:pt>
                <c:pt idx="3">
                  <c:v>5.5376416989020072</c:v>
                </c:pt>
                <c:pt idx="4">
                  <c:v>6.745316281740088</c:v>
                </c:pt>
                <c:pt idx="5">
                  <c:v>7.6638402344542556</c:v>
                </c:pt>
                <c:pt idx="6">
                  <c:v>8.3438355490216054</c:v>
                </c:pt>
                <c:pt idx="7">
                  <c:v>8.8374652448692359</c:v>
                </c:pt>
                <c:pt idx="8">
                  <c:v>9.1911136594717391</c:v>
                </c:pt>
                <c:pt idx="9">
                  <c:v>9.4426845156704076</c:v>
                </c:pt>
                <c:pt idx="10">
                  <c:v>9.6216144142090343</c:v>
                </c:pt>
                <c:pt idx="11">
                  <c:v>9.7501260883291252</c:v>
                </c:pt>
                <c:pt idx="12">
                  <c:v>9.8448491291492246</c:v>
                </c:pt>
                <c:pt idx="13">
                  <c:v>9.9183949307189323</c:v>
                </c:pt>
                <c:pt idx="14">
                  <c:v>9.9807470614905469</c:v>
                </c:pt>
                <c:pt idx="15">
                  <c:v>10.040469448722433</c:v>
                </c:pt>
                <c:pt idx="16">
                  <c:v>10.105798782024067</c:v>
                </c:pt>
                <c:pt idx="17">
                  <c:v>10.185713412647601</c:v>
                </c:pt>
                <c:pt idx="18">
                  <c:v>10.291077989677433</c:v>
                </c:pt>
                <c:pt idx="19">
                  <c:v>10.435955300636124</c:v>
                </c:pt>
                <c:pt idx="20">
                  <c:v>10.639140704006422</c:v>
                </c:pt>
                <c:pt idx="21">
                  <c:v>10.925871347717475</c:v>
                </c:pt>
                <c:pt idx="22">
                  <c:v>11.32941198447952</c:v>
                </c:pt>
                <c:pt idx="23">
                  <c:v>11.891695459780749</c:v>
                </c:pt>
                <c:pt idx="24">
                  <c:v>12.661303962522652</c:v>
                </c:pt>
                <c:pt idx="25">
                  <c:v>13.68609245546395</c:v>
                </c:pt>
                <c:pt idx="26">
                  <c:v>14.998016964818817</c:v>
                </c:pt>
                <c:pt idx="27">
                  <c:v>16.591740037256386</c:v>
                </c:pt>
                <c:pt idx="28">
                  <c:v>18.406854815839324</c:v>
                </c:pt>
                <c:pt idx="29">
                  <c:v>20.328983447689097</c:v>
                </c:pt>
                <c:pt idx="30">
                  <c:v>22.216620297695044</c:v>
                </c:pt>
                <c:pt idx="31">
                  <c:v>23.941385601938237</c:v>
                </c:pt>
                <c:pt idx="32">
                  <c:v>25.419121760933194</c:v>
                </c:pt>
                <c:pt idx="33">
                  <c:v>26.618562547082547</c:v>
                </c:pt>
                <c:pt idx="34">
                  <c:v>27.550935077306349</c:v>
                </c:pt>
                <c:pt idx="35">
                  <c:v>28.252110099128913</c:v>
                </c:pt>
                <c:pt idx="36">
                  <c:v>28.76675075822277</c:v>
                </c:pt>
                <c:pt idx="37">
                  <c:v>29.138159849389922</c:v>
                </c:pt>
                <c:pt idx="38">
                  <c:v>29.403460801404435</c:v>
                </c:pt>
                <c:pt idx="39">
                  <c:v>29.592312754539307</c:v>
                </c:pt>
                <c:pt idx="40">
                  <c:v>29.727469007775653</c:v>
                </c:pt>
                <c:pt idx="41">
                  <c:v>29.826065547240432</c:v>
                </c:pt>
                <c:pt idx="42">
                  <c:v>29.901051959313918</c:v>
                </c:pt>
                <c:pt idx="43">
                  <c:v>29.962520969274919</c:v>
                </c:pt>
                <c:pt idx="44">
                  <c:v>30.018881628348026</c:v>
                </c:pt>
                <c:pt idx="45">
                  <c:v>30.077913562126923</c:v>
                </c:pt>
                <c:pt idx="46">
                  <c:v>30.147781588311773</c:v>
                </c:pt>
                <c:pt idx="47">
                  <c:v>30.23810956365196</c:v>
                </c:pt>
                <c:pt idx="48">
                  <c:v>30.361222689680289</c:v>
                </c:pt>
                <c:pt idx="49">
                  <c:v>30.533670484146569</c:v>
                </c:pt>
                <c:pt idx="50">
                  <c:v>30.778127179655712</c:v>
                </c:pt>
                <c:pt idx="51">
                  <c:v>31.125704392616171</c:v>
                </c:pt>
                <c:pt idx="52">
                  <c:v>31.618546727986541</c:v>
                </c:pt>
                <c:pt idx="53">
                  <c:v>32.312233893026132</c:v>
                </c:pt>
                <c:pt idx="54">
                  <c:v>33.276938258495647</c:v>
                </c:pt>
                <c:pt idx="55">
                  <c:v>34.595723087841179</c:v>
                </c:pt>
                <c:pt idx="56">
                  <c:v>36.358880750776734</c:v>
                </c:pt>
                <c:pt idx="57">
                  <c:v>38.657043337298092</c:v>
                </c:pt>
                <c:pt idx="58">
                  <c:v>41.584617293847259</c:v>
                </c:pt>
                <c:pt idx="59">
                  <c:v>45.275601847970393</c:v>
                </c:pt>
                <c:pt idx="60">
                  <c:v>49.999999998544808</c:v>
                </c:pt>
              </c:numCache>
            </c:numRef>
          </c:xVal>
          <c:yVal>
            <c:numRef>
              <c:f>Evaluation!$B$6:$B$281</c:f>
              <c:numCache>
                <c:formatCode>0.000</c:formatCode>
                <c:ptCount val="276"/>
                <c:pt idx="0">
                  <c:v>2.2482361616632276</c:v>
                </c:pt>
                <c:pt idx="1">
                  <c:v>2.3647922005853386</c:v>
                </c:pt>
                <c:pt idx="2">
                  <c:v>2.5506499922129273</c:v>
                </c:pt>
                <c:pt idx="3">
                  <c:v>2.7350617167038536</c:v>
                </c:pt>
                <c:pt idx="4">
                  <c:v>2.8001589143336103</c:v>
                </c:pt>
                <c:pt idx="5">
                  <c:v>3.0210089771607134</c:v>
                </c:pt>
                <c:pt idx="6">
                  <c:v>3.2059162355606015</c:v>
                </c:pt>
                <c:pt idx="7">
                  <c:v>3.3224174642237614</c:v>
                </c:pt>
                <c:pt idx="8">
                  <c:v>3.5577328532705077</c:v>
                </c:pt>
                <c:pt idx="9">
                  <c:v>3.6543097997180687</c:v>
                </c:pt>
                <c:pt idx="10">
                  <c:v>3.7902703812451346</c:v>
                </c:pt>
                <c:pt idx="11">
                  <c:v>3.9695198921904384</c:v>
                </c:pt>
                <c:pt idx="12">
                  <c:v>4.2963445528630579</c:v>
                </c:pt>
                <c:pt idx="13">
                  <c:v>4.4234688315192683</c:v>
                </c:pt>
                <c:pt idx="14">
                  <c:v>4.3161688355486536</c:v>
                </c:pt>
                <c:pt idx="15">
                  <c:v>4.3549548393368696</c:v>
                </c:pt>
                <c:pt idx="16">
                  <c:v>4.8580520113807184</c:v>
                </c:pt>
                <c:pt idx="17">
                  <c:v>5.1357991946662338</c:v>
                </c:pt>
                <c:pt idx="18">
                  <c:v>5.1329008521350588</c:v>
                </c:pt>
                <c:pt idx="19">
                  <c:v>5.2423833602130161</c:v>
                </c:pt>
                <c:pt idx="20">
                  <c:v>5.4344364742158016</c:v>
                </c:pt>
                <c:pt idx="21">
                  <c:v>5.5859265023774283</c:v>
                </c:pt>
                <c:pt idx="22">
                  <c:v>5.7817853807000468</c:v>
                </c:pt>
                <c:pt idx="23">
                  <c:v>5.9333775681693366</c:v>
                </c:pt>
                <c:pt idx="24">
                  <c:v>6.1015246164126706</c:v>
                </c:pt>
                <c:pt idx="25">
                  <c:v>6.2343706579746305</c:v>
                </c:pt>
                <c:pt idx="26">
                  <c:v>6.4237087256565042</c:v>
                </c:pt>
                <c:pt idx="27">
                  <c:v>6.6692782825219714</c:v>
                </c:pt>
                <c:pt idx="28">
                  <c:v>6.7265948707517058</c:v>
                </c:pt>
                <c:pt idx="29">
                  <c:v>6.919625802232388</c:v>
                </c:pt>
                <c:pt idx="30">
                  <c:v>7.0953256149307116</c:v>
                </c:pt>
                <c:pt idx="31">
                  <c:v>7.1512500737592566</c:v>
                </c:pt>
                <c:pt idx="32">
                  <c:v>7.4514787286653243</c:v>
                </c:pt>
                <c:pt idx="33">
                  <c:v>7.5401593301441734</c:v>
                </c:pt>
                <c:pt idx="34">
                  <c:v>7.7563774949247826</c:v>
                </c:pt>
                <c:pt idx="35">
                  <c:v>7.9134510497316528</c:v>
                </c:pt>
                <c:pt idx="36">
                  <c:v>7.9963996764286227</c:v>
                </c:pt>
                <c:pt idx="37">
                  <c:v>8.2263819666307043</c:v>
                </c:pt>
                <c:pt idx="38">
                  <c:v>8.4238610949150825</c:v>
                </c:pt>
                <c:pt idx="39">
                  <c:v>8.4704538960139431</c:v>
                </c:pt>
                <c:pt idx="40">
                  <c:v>8.8064331886117166</c:v>
                </c:pt>
                <c:pt idx="41">
                  <c:v>9.0470594645874822</c:v>
                </c:pt>
                <c:pt idx="42">
                  <c:v>8.9214273543590199</c:v>
                </c:pt>
                <c:pt idx="43">
                  <c:v>9.1409056011009717</c:v>
                </c:pt>
                <c:pt idx="44">
                  <c:v>9.3198510455583126</c:v>
                </c:pt>
                <c:pt idx="45">
                  <c:v>9.6426810772611162</c:v>
                </c:pt>
                <c:pt idx="46">
                  <c:v>9.6630212543003005</c:v>
                </c:pt>
                <c:pt idx="47">
                  <c:v>9.8054199161609681</c:v>
                </c:pt>
                <c:pt idx="48">
                  <c:v>10.1009536653353</c:v>
                </c:pt>
                <c:pt idx="49">
                  <c:v>10.113295776244147</c:v>
                </c:pt>
                <c:pt idx="50">
                  <c:v>10.440725985515027</c:v>
                </c:pt>
                <c:pt idx="51">
                  <c:v>10.394143875602518</c:v>
                </c:pt>
                <c:pt idx="52">
                  <c:v>10.693185093665297</c:v>
                </c:pt>
                <c:pt idx="53">
                  <c:v>10.788842607386293</c:v>
                </c:pt>
                <c:pt idx="54">
                  <c:v>10.877864857281752</c:v>
                </c:pt>
                <c:pt idx="55">
                  <c:v>11.051299680096768</c:v>
                </c:pt>
                <c:pt idx="56">
                  <c:v>11.370292142789795</c:v>
                </c:pt>
                <c:pt idx="57">
                  <c:v>11.419295233251525</c:v>
                </c:pt>
                <c:pt idx="58">
                  <c:v>11.628946382172252</c:v>
                </c:pt>
                <c:pt idx="59">
                  <c:v>11.730370279959102</c:v>
                </c:pt>
                <c:pt idx="60">
                  <c:v>11.913765583538456</c:v>
                </c:pt>
              </c:numCache>
            </c:numRef>
          </c:yVal>
          <c:smooth val="1"/>
        </c:ser>
        <c:ser>
          <c:idx val="1"/>
          <c:order val="1"/>
          <c:tx>
            <c:v>smoothed data</c:v>
          </c:tx>
          <c:spPr>
            <a:ln w="25400">
              <a:solidFill>
                <a:srgbClr val="FF0000"/>
              </a:solidFill>
              <a:prstDash val="solid"/>
            </a:ln>
          </c:spPr>
          <c:marker>
            <c:symbol val="none"/>
          </c:marker>
          <c:xVal>
            <c:numRef>
              <c:f>Evaluation!$T$6:$T$1006</c:f>
              <c:numCache>
                <c:formatCode>0.0000</c:formatCode>
                <c:ptCount val="10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Evaluation!$U$6:$U$1006</c:f>
              <c:numCache>
                <c:formatCode>0.0000</c:formatCode>
                <c:ptCount val="1001"/>
                <c:pt idx="0">
                  <c:v>2.2477912303889083</c:v>
                </c:pt>
                <c:pt idx="1">
                  <c:v>2.2551998129407687</c:v>
                </c:pt>
                <c:pt idx="2">
                  <c:v>2.2626714893403927</c:v>
                </c:pt>
                <c:pt idx="3">
                  <c:v>2.2702693534355443</c:v>
                </c:pt>
                <c:pt idx="4">
                  <c:v>2.2780564990739869</c:v>
                </c:pt>
                <c:pt idx="5">
                  <c:v>2.2860960201034839</c:v>
                </c:pt>
                <c:pt idx="6">
                  <c:v>2.2944510103717999</c:v>
                </c:pt>
                <c:pt idx="7">
                  <c:v>2.3031845637266972</c:v>
                </c:pt>
                <c:pt idx="8">
                  <c:v>2.3123597740159409</c:v>
                </c:pt>
                <c:pt idx="9">
                  <c:v>2.3220397350872939</c:v>
                </c:pt>
                <c:pt idx="10">
                  <c:v>2.3322875407885197</c:v>
                </c:pt>
                <c:pt idx="11">
                  <c:v>2.3431662849673827</c:v>
                </c:pt>
                <c:pt idx="12">
                  <c:v>2.3547390614716459</c:v>
                </c:pt>
                <c:pt idx="13">
                  <c:v>2.3670689312539968</c:v>
                </c:pt>
                <c:pt idx="14">
                  <c:v>2.3801996475684373</c:v>
                </c:pt>
                <c:pt idx="15">
                  <c:v>2.3941231836829133</c:v>
                </c:pt>
                <c:pt idx="16">
                  <c:v>2.4088229231402556</c:v>
                </c:pt>
                <c:pt idx="17">
                  <c:v>2.4242822494832952</c:v>
                </c:pt>
                <c:pt idx="18">
                  <c:v>2.4404845462548628</c:v>
                </c:pt>
                <c:pt idx="19">
                  <c:v>2.4574131969977904</c:v>
                </c:pt>
                <c:pt idx="20">
                  <c:v>2.4750515852549082</c:v>
                </c:pt>
                <c:pt idx="21">
                  <c:v>2.4933830945690478</c:v>
                </c:pt>
                <c:pt idx="22">
                  <c:v>2.5123911084830399</c:v>
                </c:pt>
                <c:pt idx="23">
                  <c:v>2.5320590105397156</c:v>
                </c:pt>
                <c:pt idx="24">
                  <c:v>2.552370184281906</c:v>
                </c:pt>
                <c:pt idx="25">
                  <c:v>2.5732575608785768</c:v>
                </c:pt>
                <c:pt idx="26">
                  <c:v>2.594433262584293</c:v>
                </c:pt>
                <c:pt idx="27">
                  <c:v>2.6155490207556742</c:v>
                </c:pt>
                <c:pt idx="28">
                  <c:v>2.6362565652605445</c:v>
                </c:pt>
                <c:pt idx="29">
                  <c:v>2.6562076259667284</c:v>
                </c:pt>
                <c:pt idx="30">
                  <c:v>2.6750539327420495</c:v>
                </c:pt>
                <c:pt idx="31">
                  <c:v>2.6924472154543322</c:v>
                </c:pt>
                <c:pt idx="32">
                  <c:v>2.708039203971401</c:v>
                </c:pt>
                <c:pt idx="33">
                  <c:v>2.7214816281610794</c:v>
                </c:pt>
                <c:pt idx="34">
                  <c:v>2.732545491629895</c:v>
                </c:pt>
                <c:pt idx="35">
                  <c:v>2.7419603268952932</c:v>
                </c:pt>
                <c:pt idx="36">
                  <c:v>2.7509173875702602</c:v>
                </c:pt>
                <c:pt idx="37">
                  <c:v>2.7606108889005831</c:v>
                </c:pt>
                <c:pt idx="38">
                  <c:v>2.7722350461320491</c:v>
                </c:pt>
                <c:pt idx="39">
                  <c:v>2.7869840745104462</c:v>
                </c:pt>
                <c:pt idx="40">
                  <c:v>2.8060521892815613</c:v>
                </c:pt>
                <c:pt idx="41">
                  <c:v>2.8305753583805182</c:v>
                </c:pt>
                <c:pt idx="42">
                  <c:v>2.8605113701517841</c:v>
                </c:pt>
                <c:pt idx="43">
                  <c:v>2.8947231343978994</c:v>
                </c:pt>
                <c:pt idx="44">
                  <c:v>2.9320320019069879</c:v>
                </c:pt>
                <c:pt idx="45">
                  <c:v>2.9712593234671738</c:v>
                </c:pt>
                <c:pt idx="46">
                  <c:v>3.0112264510722939</c:v>
                </c:pt>
                <c:pt idx="47">
                  <c:v>3.0510147381141026</c:v>
                </c:pt>
                <c:pt idx="48">
                  <c:v>3.090693972992467</c:v>
                </c:pt>
                <c:pt idx="49">
                  <c:v>3.1305687934582704</c:v>
                </c:pt>
                <c:pt idx="50">
                  <c:v>3.1709438372623948</c:v>
                </c:pt>
                <c:pt idx="51">
                  <c:v>3.2127537529016355</c:v>
                </c:pt>
                <c:pt idx="52">
                  <c:v>3.2599789458197872</c:v>
                </c:pt>
                <c:pt idx="53">
                  <c:v>3.3175190039951286</c:v>
                </c:pt>
                <c:pt idx="54">
                  <c:v>3.3903460184422864</c:v>
                </c:pt>
                <c:pt idx="55">
                  <c:v>3.4837436667765198</c:v>
                </c:pt>
                <c:pt idx="56">
                  <c:v>3.6039347389667129</c:v>
                </c:pt>
                <c:pt idx="57">
                  <c:v>3.7624362958580515</c:v>
                </c:pt>
                <c:pt idx="58">
                  <c:v>3.9701736511568306</c:v>
                </c:pt>
                <c:pt idx="59">
                  <c:v>4.2282812400545851</c:v>
                </c:pt>
                <c:pt idx="60">
                  <c:v>4.5200536754230942</c:v>
                </c:pt>
                <c:pt idx="61">
                  <c:v>4.8193077796195789</c:v>
                </c:pt>
                <c:pt idx="62">
                  <c:v>5.0805989896209773</c:v>
                </c:pt>
                <c:pt idx="63">
                  <c:v>5.2884091464244163</c:v>
                </c:pt>
                <c:pt idx="64">
                  <c:v>5.4486813642849947</c:v>
                </c:pt>
                <c:pt idx="65">
                  <c:v>5.5709817104671666</c:v>
                </c:pt>
                <c:pt idx="66">
                  <c:v>5.6657943774104655</c:v>
                </c:pt>
                <c:pt idx="67">
                  <c:v>5.741185676682619</c:v>
                </c:pt>
                <c:pt idx="68">
                  <c:v>5.8022807263411966</c:v>
                </c:pt>
                <c:pt idx="69">
                  <c:v>5.8535548825638033</c:v>
                </c:pt>
                <c:pt idx="70">
                  <c:v>5.8976713332400861</c:v>
                </c:pt>
                <c:pt idx="71">
                  <c:v>5.9368711089435244</c:v>
                </c:pt>
                <c:pt idx="72">
                  <c:v>5.9732884065172458</c:v>
                </c:pt>
                <c:pt idx="73">
                  <c:v>6.0077364009292982</c:v>
                </c:pt>
                <c:pt idx="74">
                  <c:v>6.0401368771641604</c:v>
                </c:pt>
                <c:pt idx="75">
                  <c:v>6.0703949030756261</c:v>
                </c:pt>
                <c:pt idx="76">
                  <c:v>6.098415549646953</c:v>
                </c:pt>
                <c:pt idx="77">
                  <c:v>6.1242071815480026</c:v>
                </c:pt>
                <c:pt idx="78">
                  <c:v>6.148153361647676</c:v>
                </c:pt>
                <c:pt idx="79">
                  <c:v>6.1707228163571628</c:v>
                </c:pt>
                <c:pt idx="80">
                  <c:v>6.1923842720876552</c:v>
                </c:pt>
                <c:pt idx="81">
                  <c:v>6.2136064552503409</c:v>
                </c:pt>
                <c:pt idx="82">
                  <c:v>6.2348580922564123</c:v>
                </c:pt>
                <c:pt idx="83">
                  <c:v>6.2565592194605832</c:v>
                </c:pt>
                <c:pt idx="84">
                  <c:v>6.2788528308246736</c:v>
                </c:pt>
                <c:pt idx="85">
                  <c:v>6.3017840703064261</c:v>
                </c:pt>
                <c:pt idx="86">
                  <c:v>6.3253979700508927</c:v>
                </c:pt>
                <c:pt idx="87">
                  <c:v>6.3497395622031245</c:v>
                </c:pt>
                <c:pt idx="88">
                  <c:v>6.3748538789081737</c:v>
                </c:pt>
                <c:pt idx="89">
                  <c:v>6.4007859523110913</c:v>
                </c:pt>
                <c:pt idx="90">
                  <c:v>6.4275808144156823</c:v>
                </c:pt>
                <c:pt idx="91">
                  <c:v>6.4551966136120056</c:v>
                </c:pt>
                <c:pt idx="92">
                  <c:v>6.4832561481232966</c:v>
                </c:pt>
                <c:pt idx="93">
                  <c:v>6.511301318639493</c:v>
                </c:pt>
                <c:pt idx="94">
                  <c:v>6.5388740258505313</c:v>
                </c:pt>
                <c:pt idx="95">
                  <c:v>6.5655161704463483</c:v>
                </c:pt>
                <c:pt idx="96">
                  <c:v>6.5907696531168813</c:v>
                </c:pt>
                <c:pt idx="97">
                  <c:v>6.6141763745520654</c:v>
                </c:pt>
                <c:pt idx="98">
                  <c:v>6.6352782354418389</c:v>
                </c:pt>
                <c:pt idx="99">
                  <c:v>6.6536171364761376</c:v>
                </c:pt>
                <c:pt idx="100">
                  <c:v>6.6687498205856004</c:v>
                </c:pt>
                <c:pt idx="101">
                  <c:v>6.6806712218128785</c:v>
                </c:pt>
                <c:pt idx="102">
                  <c:v>6.6898761376740667</c:v>
                </c:pt>
                <c:pt idx="103">
                  <c:v>6.6968866094821253</c:v>
                </c:pt>
                <c:pt idx="104">
                  <c:v>6.7022246785500164</c:v>
                </c:pt>
                <c:pt idx="105">
                  <c:v>6.7064123861907019</c:v>
                </c:pt>
                <c:pt idx="106">
                  <c:v>6.7099717737171423</c:v>
                </c:pt>
                <c:pt idx="107">
                  <c:v>6.7134248824423004</c:v>
                </c:pt>
                <c:pt idx="108">
                  <c:v>6.7172937536791366</c:v>
                </c:pt>
                <c:pt idx="109">
                  <c:v>6.7221004287406148</c:v>
                </c:pt>
                <c:pt idx="110">
                  <c:v>6.7283669489396942</c:v>
                </c:pt>
                <c:pt idx="111">
                  <c:v>6.7365941691292548</c:v>
                </c:pt>
                <c:pt idx="112">
                  <c:v>6.7469079057878156</c:v>
                </c:pt>
                <c:pt idx="113">
                  <c:v>6.7591123788159653</c:v>
                </c:pt>
                <c:pt idx="114">
                  <c:v>6.7730013892599583</c:v>
                </c:pt>
                <c:pt idx="115">
                  <c:v>6.7883687381660511</c:v>
                </c:pt>
                <c:pt idx="116">
                  <c:v>6.8050082265804983</c:v>
                </c:pt>
                <c:pt idx="117">
                  <c:v>6.8227136555495553</c:v>
                </c:pt>
                <c:pt idx="118">
                  <c:v>6.8412788261194786</c:v>
                </c:pt>
                <c:pt idx="119">
                  <c:v>6.8604975393365235</c:v>
                </c:pt>
                <c:pt idx="120">
                  <c:v>6.8801635962469438</c:v>
                </c:pt>
                <c:pt idx="121">
                  <c:v>6.9000707978969977</c:v>
                </c:pt>
                <c:pt idx="122">
                  <c:v>6.9200129453884243</c:v>
                </c:pt>
                <c:pt idx="123">
                  <c:v>6.9397872113829155</c:v>
                </c:pt>
                <c:pt idx="124">
                  <c:v>6.9592032398816919</c:v>
                </c:pt>
                <c:pt idx="125">
                  <c:v>6.9780735578240041</c:v>
                </c:pt>
                <c:pt idx="126">
                  <c:v>6.9962106921490994</c:v>
                </c:pt>
                <c:pt idx="127">
                  <c:v>7.0134271697962305</c:v>
                </c:pt>
                <c:pt idx="128">
                  <c:v>7.0295355177046455</c:v>
                </c:pt>
                <c:pt idx="129">
                  <c:v>7.0443482628135943</c:v>
                </c:pt>
                <c:pt idx="130">
                  <c:v>7.0576779320623269</c:v>
                </c:pt>
                <c:pt idx="131">
                  <c:v>7.0693370523900931</c:v>
                </c:pt>
                <c:pt idx="132">
                  <c:v>7.0791381507361422</c:v>
                </c:pt>
                <c:pt idx="133">
                  <c:v>7.0868937540397248</c:v>
                </c:pt>
                <c:pt idx="134">
                  <c:v>7.0924694186630903</c:v>
                </c:pt>
                <c:pt idx="135">
                  <c:v>7.0962776239183496</c:v>
                </c:pt>
                <c:pt idx="136">
                  <c:v>7.0990532622106466</c:v>
                </c:pt>
                <c:pt idx="137">
                  <c:v>7.1015353837108615</c:v>
                </c:pt>
                <c:pt idx="138">
                  <c:v>7.1044630385898753</c:v>
                </c:pt>
                <c:pt idx="139">
                  <c:v>7.1085752770185691</c:v>
                </c:pt>
                <c:pt idx="140">
                  <c:v>7.1146111491678239</c:v>
                </c:pt>
                <c:pt idx="141">
                  <c:v>7.1233097052085208</c:v>
                </c:pt>
                <c:pt idx="142">
                  <c:v>7.13540999531154</c:v>
                </c:pt>
                <c:pt idx="143">
                  <c:v>7.1516510696477624</c:v>
                </c:pt>
                <c:pt idx="144">
                  <c:v>7.1727581087384138</c:v>
                </c:pt>
                <c:pt idx="145">
                  <c:v>7.1987243150723135</c:v>
                </c:pt>
                <c:pt idx="146">
                  <c:v>7.2284624710611984</c:v>
                </c:pt>
                <c:pt idx="147">
                  <c:v>7.2607984722262389</c:v>
                </c:pt>
                <c:pt idx="148">
                  <c:v>7.2945582140886085</c:v>
                </c:pt>
                <c:pt idx="149">
                  <c:v>7.3285675921694766</c:v>
                </c:pt>
                <c:pt idx="150">
                  <c:v>7.3616525019900161</c:v>
                </c:pt>
                <c:pt idx="151">
                  <c:v>7.3926388390713997</c:v>
                </c:pt>
                <c:pt idx="152">
                  <c:v>7.4203524989347978</c:v>
                </c:pt>
                <c:pt idx="153">
                  <c:v>7.4436693975898596</c:v>
                </c:pt>
                <c:pt idx="154">
                  <c:v>7.4626995860586129</c:v>
                </c:pt>
                <c:pt idx="155">
                  <c:v>7.4788356012739374</c:v>
                </c:pt>
                <c:pt idx="156">
                  <c:v>7.4935296753140985</c:v>
                </c:pt>
                <c:pt idx="157">
                  <c:v>7.5082340402573609</c:v>
                </c:pt>
                <c:pt idx="158">
                  <c:v>7.5244009281819881</c:v>
                </c:pt>
                <c:pt idx="159">
                  <c:v>7.543482571166245</c:v>
                </c:pt>
                <c:pt idx="160">
                  <c:v>7.5669201369895633</c:v>
                </c:pt>
                <c:pt idx="161">
                  <c:v>7.5952143533813015</c:v>
                </c:pt>
                <c:pt idx="162">
                  <c:v>7.6272220610639767</c:v>
                </c:pt>
                <c:pt idx="163">
                  <c:v>7.6616344399895135</c:v>
                </c:pt>
                <c:pt idx="164">
                  <c:v>7.6971426701098338</c:v>
                </c:pt>
                <c:pt idx="165">
                  <c:v>7.7324379313768636</c:v>
                </c:pt>
                <c:pt idx="166">
                  <c:v>7.7663174100178933</c:v>
                </c:pt>
                <c:pt idx="167">
                  <c:v>7.7986944130431031</c:v>
                </c:pt>
                <c:pt idx="168">
                  <c:v>7.8301507322134034</c:v>
                </c:pt>
                <c:pt idx="169">
                  <c:v>7.8612771963413008</c:v>
                </c:pt>
                <c:pt idx="170">
                  <c:v>7.8927635297395575</c:v>
                </c:pt>
                <c:pt idx="171">
                  <c:v>7.9277152071752059</c:v>
                </c:pt>
                <c:pt idx="172">
                  <c:v>7.9717345764590002</c:v>
                </c:pt>
                <c:pt idx="173">
                  <c:v>8.0305262905348318</c:v>
                </c:pt>
                <c:pt idx="174">
                  <c:v>8.1092951190074949</c:v>
                </c:pt>
                <c:pt idx="175">
                  <c:v>8.2125995512659742</c:v>
                </c:pt>
                <c:pt idx="176">
                  <c:v>8.3462059920003622</c:v>
                </c:pt>
                <c:pt idx="177">
                  <c:v>8.5189579261834609</c:v>
                </c:pt>
                <c:pt idx="178">
                  <c:v>8.7405712164179672</c:v>
                </c:pt>
                <c:pt idx="179">
                  <c:v>9.0108302989836648</c:v>
                </c:pt>
                <c:pt idx="180">
                  <c:v>9.3156319267701111</c:v>
                </c:pt>
                <c:pt idx="181">
                  <c:v>9.6230530640774159</c:v>
                </c:pt>
                <c:pt idx="182">
                  <c:v>9.89300553025166</c:v>
                </c:pt>
                <c:pt idx="183">
                  <c:v>10.10824458672597</c:v>
                </c:pt>
                <c:pt idx="184">
                  <c:v>10.271780737699045</c:v>
                </c:pt>
                <c:pt idx="185">
                  <c:v>10.39020169081958</c:v>
                </c:pt>
                <c:pt idx="186">
                  <c:v>10.473283290779515</c:v>
                </c:pt>
                <c:pt idx="187">
                  <c:v>10.537691837262306</c:v>
                </c:pt>
                <c:pt idx="188">
                  <c:v>10.595002197574242</c:v>
                </c:pt>
                <c:pt idx="189">
                  <c:v>10.645603138055275</c:v>
                </c:pt>
                <c:pt idx="190">
                  <c:v>10.688589198429771</c:v>
                </c:pt>
                <c:pt idx="191">
                  <c:v>10.723836415509352</c:v>
                </c:pt>
                <c:pt idx="192">
                  <c:v>10.752586530105978</c:v>
                </c:pt>
                <c:pt idx="193">
                  <c:v>10.776218865079171</c:v>
                </c:pt>
                <c:pt idx="194">
                  <c:v>10.796112507809209</c:v>
                </c:pt>
                <c:pt idx="195">
                  <c:v>10.813481532152968</c:v>
                </c:pt>
                <c:pt idx="196">
                  <c:v>10.82908622215608</c:v>
                </c:pt>
                <c:pt idx="197">
                  <c:v>10.843609534942027</c:v>
                </c:pt>
                <c:pt idx="198">
                  <c:v>10.857734427634291</c:v>
                </c:pt>
                <c:pt idx="199">
                  <c:v>10.872143857356358</c:v>
                </c:pt>
                <c:pt idx="200">
                  <c:v>10.887516842021457</c:v>
                </c:pt>
                <c:pt idx="201">
                  <c:v>10.904304397242267</c:v>
                </c:pt>
                <c:pt idx="202">
                  <c:v>10.922608854660952</c:v>
                </c:pt>
                <c:pt idx="203">
                  <c:v>10.94250309650991</c:v>
                </c:pt>
                <c:pt idx="204">
                  <c:v>10.964060005021533</c:v>
                </c:pt>
                <c:pt idx="205">
                  <c:v>10.987352462428227</c:v>
                </c:pt>
                <c:pt idx="206">
                  <c:v>11.012453350962383</c:v>
                </c:pt>
                <c:pt idx="207">
                  <c:v>11.0394355528564</c:v>
                </c:pt>
                <c:pt idx="208">
                  <c:v>11.068363726638612</c:v>
                </c:pt>
                <c:pt idx="209">
                  <c:v>11.099026450400848</c:v>
                </c:pt>
                <c:pt idx="210">
                  <c:v>11.130877034917948</c:v>
                </c:pt>
                <c:pt idx="211">
                  <c:v>11.163348589710939</c:v>
                </c:pt>
                <c:pt idx="212">
                  <c:v>11.195874224300837</c:v>
                </c:pt>
                <c:pt idx="213">
                  <c:v>11.22788704820867</c:v>
                </c:pt>
                <c:pt idx="214">
                  <c:v>11.258820170955458</c:v>
                </c:pt>
                <c:pt idx="215">
                  <c:v>11.288106702062226</c:v>
                </c:pt>
                <c:pt idx="216">
                  <c:v>11.315179751049993</c:v>
                </c:pt>
                <c:pt idx="217">
                  <c:v>11.339472427439784</c:v>
                </c:pt>
                <c:pt idx="218">
                  <c:v>11.360417840752621</c:v>
                </c:pt>
                <c:pt idx="219">
                  <c:v>11.377549463985339</c:v>
                </c:pt>
                <c:pt idx="220">
                  <c:v>11.39104058575071</c:v>
                </c:pt>
                <c:pt idx="221">
                  <c:v>11.401315726403249</c:v>
                </c:pt>
                <c:pt idx="222">
                  <c:v>11.408800001764881</c:v>
                </c:pt>
                <c:pt idx="223">
                  <c:v>11.413918527657534</c:v>
                </c:pt>
                <c:pt idx="224">
                  <c:v>11.417096419903132</c:v>
                </c:pt>
                <c:pt idx="225">
                  <c:v>11.418758794323601</c:v>
                </c:pt>
                <c:pt idx="226">
                  <c:v>11.419330766740867</c:v>
                </c:pt>
                <c:pt idx="227">
                  <c:v>11.419237452976855</c:v>
                </c:pt>
                <c:pt idx="228">
                  <c:v>11.418903968853492</c:v>
                </c:pt>
                <c:pt idx="229">
                  <c:v>11.418755430192704</c:v>
                </c:pt>
                <c:pt idx="230">
                  <c:v>11.419216952816416</c:v>
                </c:pt>
                <c:pt idx="231">
                  <c:v>11.420713652546553</c:v>
                </c:pt>
                <c:pt idx="232">
                  <c:v>11.423670626290276</c:v>
                </c:pt>
                <c:pt idx="233">
                  <c:v>11.428396765801413</c:v>
                </c:pt>
                <c:pt idx="234">
                  <c:v>11.43480983653296</c:v>
                </c:pt>
                <c:pt idx="235">
                  <c:v>11.442745401704318</c:v>
                </c:pt>
                <c:pt idx="236">
                  <c:v>11.452039024534887</c:v>
                </c:pt>
                <c:pt idx="237">
                  <c:v>11.462526268244066</c:v>
                </c:pt>
                <c:pt idx="238">
                  <c:v>11.474042696051253</c:v>
                </c:pt>
                <c:pt idx="239">
                  <c:v>11.48642387117585</c:v>
                </c:pt>
                <c:pt idx="240">
                  <c:v>11.499505356837256</c:v>
                </c:pt>
                <c:pt idx="241">
                  <c:v>11.513122716254868</c:v>
                </c:pt>
                <c:pt idx="242">
                  <c:v>11.527111512648089</c:v>
                </c:pt>
                <c:pt idx="243">
                  <c:v>11.541307309236316</c:v>
                </c:pt>
                <c:pt idx="244">
                  <c:v>11.555545669238949</c:v>
                </c:pt>
                <c:pt idx="245">
                  <c:v>11.569662155875388</c:v>
                </c:pt>
                <c:pt idx="246">
                  <c:v>11.583492332365033</c:v>
                </c:pt>
                <c:pt idx="247">
                  <c:v>11.596871761927281</c:v>
                </c:pt>
                <c:pt idx="248">
                  <c:v>11.609636007781534</c:v>
                </c:pt>
                <c:pt idx="249">
                  <c:v>11.62162063314719</c:v>
                </c:pt>
                <c:pt idx="250">
                  <c:v>11.63266569070097</c:v>
                </c:pt>
                <c:pt idx="251">
                  <c:v>11.642718324065822</c:v>
                </c:pt>
                <c:pt idx="252">
                  <c:v>11.651834941804662</c:v>
                </c:pt>
                <c:pt idx="253">
                  <c:v>11.660076876791532</c:v>
                </c:pt>
                <c:pt idx="254">
                  <c:v>11.667505461900467</c:v>
                </c:pt>
                <c:pt idx="255">
                  <c:v>11.674182030005506</c:v>
                </c:pt>
                <c:pt idx="256">
                  <c:v>11.680167913980688</c:v>
                </c:pt>
                <c:pt idx="257">
                  <c:v>11.685524446700049</c:v>
                </c:pt>
                <c:pt idx="258">
                  <c:v>11.69031296103763</c:v>
                </c:pt>
                <c:pt idx="259">
                  <c:v>11.694594789867468</c:v>
                </c:pt>
                <c:pt idx="260">
                  <c:v>11.698431266063599</c:v>
                </c:pt>
                <c:pt idx="261">
                  <c:v>11.701883722500066</c:v>
                </c:pt>
                <c:pt idx="262">
                  <c:v>11.705013492050902</c:v>
                </c:pt>
                <c:pt idx="263">
                  <c:v>11.707881907590147</c:v>
                </c:pt>
                <c:pt idx="264">
                  <c:v>11.710550301991841</c:v>
                </c:pt>
                <c:pt idx="265">
                  <c:v>11.713080008130021</c:v>
                </c:pt>
                <c:pt idx="266">
                  <c:v>11.715532358878724</c:v>
                </c:pt>
                <c:pt idx="267">
                  <c:v>11.717968687111989</c:v>
                </c:pt>
                <c:pt idx="268">
                  <c:v>11.720450325703855</c:v>
                </c:pt>
                <c:pt idx="269">
                  <c:v>11.723038607528357</c:v>
                </c:pt>
                <c:pt idx="270">
                  <c:v>11.725794865459537</c:v>
                </c:pt>
                <c:pt idx="271">
                  <c:v>11.728780432371433</c:v>
                </c:pt>
                <c:pt idx="272">
                  <c:v>11.732056135470193</c:v>
                </c:pt>
                <c:pt idx="273">
                  <c:v>11.735655129517195</c:v>
                </c:pt>
                <c:pt idx="274">
                  <c:v>11.73956914435847</c:v>
                </c:pt>
                <c:pt idx="275">
                  <c:v>11.743786512557195</c:v>
                </c:pt>
                <c:pt idx="276">
                  <c:v>11.748295566676546</c:v>
                </c:pt>
                <c:pt idx="277">
                  <c:v>11.753084639279695</c:v>
                </c:pt>
                <c:pt idx="278">
                  <c:v>11.758142062929821</c:v>
                </c:pt>
                <c:pt idx="279">
                  <c:v>11.763456170190095</c:v>
                </c:pt>
                <c:pt idx="280">
                  <c:v>11.769015293623694</c:v>
                </c:pt>
                <c:pt idx="281">
                  <c:v>11.774807765793792</c:v>
                </c:pt>
                <c:pt idx="282">
                  <c:v>11.780821919263564</c:v>
                </c:pt>
                <c:pt idx="283">
                  <c:v>11.787046086596188</c:v>
                </c:pt>
                <c:pt idx="284">
                  <c:v>11.793468600354835</c:v>
                </c:pt>
                <c:pt idx="285">
                  <c:v>11.800077793102682</c:v>
                </c:pt>
                <c:pt idx="286">
                  <c:v>11.806861997402905</c:v>
                </c:pt>
                <c:pt idx="287">
                  <c:v>11.813809545818678</c:v>
                </c:pt>
                <c:pt idx="288">
                  <c:v>11.820908770913174</c:v>
                </c:pt>
                <c:pt idx="289">
                  <c:v>11.82814800524957</c:v>
                </c:pt>
                <c:pt idx="290">
                  <c:v>11.835515581391043</c:v>
                </c:pt>
                <c:pt idx="291">
                  <c:v>11.842999831900764</c:v>
                </c:pt>
                <c:pt idx="292">
                  <c:v>11.850589089341909</c:v>
                </c:pt>
                <c:pt idx="293">
                  <c:v>11.858271686277655</c:v>
                </c:pt>
                <c:pt idx="294">
                  <c:v>11.866035955271176</c:v>
                </c:pt>
                <c:pt idx="295">
                  <c:v>11.873870228885648</c:v>
                </c:pt>
                <c:pt idx="296">
                  <c:v>11.881762839684244</c:v>
                </c:pt>
                <c:pt idx="297">
                  <c:v>11.889702120230139</c:v>
                </c:pt>
                <c:pt idx="298">
                  <c:v>11.897676403086511</c:v>
                </c:pt>
                <c:pt idx="299">
                  <c:v>11.90567402081653</c:v>
                </c:pt>
                <c:pt idx="300">
                  <c:v>11.913683305983376</c:v>
                </c:pt>
              </c:numCache>
            </c:numRef>
          </c:yVal>
          <c:smooth val="1"/>
        </c:ser>
        <c:axId val="278023168"/>
        <c:axId val="278033536"/>
      </c:scatterChart>
      <c:valAx>
        <c:axId val="278023168"/>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410121037028645"/>
              <c:y val="0.9408572124360749"/>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78033536"/>
        <c:crosses val="autoZero"/>
        <c:crossBetween val="midCat"/>
      </c:valAx>
      <c:valAx>
        <c:axId val="278033536"/>
        <c:scaling>
          <c:orientation val="minMax"/>
        </c:scaling>
        <c:axPos val="l"/>
        <c:majorGridlines>
          <c:spPr>
            <a:ln w="3175">
              <a:solidFill>
                <a:srgbClr val="000000"/>
              </a:solidFill>
              <a:prstDash val="solid"/>
            </a:ln>
          </c:spPr>
        </c:majorGridlines>
        <c:title>
          <c:tx>
            <c:rich>
              <a:bodyPr/>
              <a:lstStyle/>
              <a:p>
                <a:pPr>
                  <a:defRPr sz="1100" b="1" i="0" u="none" strike="noStrike" baseline="0">
                    <a:solidFill>
                      <a:srgbClr val="000000"/>
                    </a:solidFill>
                    <a:latin typeface="Arial"/>
                    <a:ea typeface="Arial"/>
                    <a:cs typeface="Arial"/>
                  </a:defRPr>
                </a:pPr>
                <a:r>
                  <a:rPr lang="pt-BR"/>
                  <a:t>pH</a:t>
                </a:r>
              </a:p>
            </c:rich>
          </c:tx>
          <c:layout>
            <c:manualLayout>
              <c:xMode val="edge"/>
              <c:yMode val="edge"/>
              <c:x val="6.2736834154723531E-3"/>
              <c:y val="0.43731011716318985"/>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78023168"/>
        <c:crosses val="autoZero"/>
        <c:crossBetween val="midCat"/>
      </c:valAx>
      <c:spPr>
        <a:noFill/>
        <a:ln w="12700">
          <a:solidFill>
            <a:srgbClr val="F9FCDE"/>
          </a:solidFill>
          <a:prstDash val="solid"/>
        </a:ln>
      </c:spPr>
    </c:plotArea>
    <c:legend>
      <c:legendPos val="r"/>
      <c:layout>
        <c:manualLayout>
          <c:xMode val="edge"/>
          <c:yMode val="edge"/>
          <c:wMode val="edge"/>
          <c:hMode val="edge"/>
          <c:x val="0.10626998243924549"/>
          <c:y val="1.5290472711529621E-2"/>
          <c:w val="0.56191574614324291"/>
          <c:h val="7.6452904727115328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200" b="1" i="0" u="none" strike="noStrike" baseline="0">
                <a:solidFill>
                  <a:srgbClr val="000000"/>
                </a:solidFill>
                <a:latin typeface="Arial"/>
                <a:cs typeface="Arial"/>
              </a:rPr>
              <a:t>T</a:t>
            </a:r>
            <a:r>
              <a:rPr lang="pl-PL" sz="1100" b="1" i="0" u="none" strike="noStrike" baseline="0">
                <a:solidFill>
                  <a:srgbClr val="000000"/>
                </a:solidFill>
                <a:latin typeface="Arial"/>
                <a:cs typeface="Arial"/>
              </a:rPr>
              <a:t>itration with 0.100 mol/L NaOH  of 20.0 mL</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of a mixture of 0.0250 mol/L citric acid</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and 0.0350 mol/L glycine</a:t>
            </a:r>
            <a:endParaRPr lang="pl-PL" sz="1100" b="0" i="0" u="none" strike="noStrike" baseline="0">
              <a:solidFill>
                <a:srgbClr val="000000"/>
              </a:solidFill>
              <a:latin typeface="Arial"/>
              <a:cs typeface="Arial"/>
            </a:endParaRPr>
          </a:p>
          <a:p>
            <a:pPr>
              <a:defRPr sz="1075" b="0" i="0" u="none" strike="noStrike" baseline="0">
                <a:solidFill>
                  <a:srgbClr val="000000"/>
                </a:solidFill>
                <a:latin typeface="Arial"/>
                <a:ea typeface="Arial"/>
                <a:cs typeface="Arial"/>
              </a:defRPr>
            </a:pPr>
            <a:r>
              <a:rPr lang="pl-PL" sz="1100" b="0" i="0" u="none" strike="noStrike" baseline="0">
                <a:solidFill>
                  <a:srgbClr val="000000"/>
                </a:solidFill>
                <a:latin typeface="Arial"/>
                <a:cs typeface="Arial"/>
              </a:rPr>
              <a:t>(sVol=0.02; spH=0.02)</a:t>
            </a:r>
          </a:p>
        </c:rich>
      </c:tx>
      <c:layout>
        <c:manualLayout>
          <c:xMode val="edge"/>
          <c:yMode val="edge"/>
          <c:x val="8.9454470105112524E-2"/>
          <c:y val="6.6758462884447131E-2"/>
        </c:manualLayout>
      </c:layout>
      <c:spPr>
        <a:noFill/>
        <a:ln w="25400">
          <a:noFill/>
        </a:ln>
      </c:spPr>
    </c:title>
    <c:plotArea>
      <c:layout>
        <c:manualLayout>
          <c:layoutTarget val="inner"/>
          <c:xMode val="edge"/>
          <c:yMode val="edge"/>
          <c:x val="7.0933672010247917E-2"/>
          <c:y val="2.1489584974379656E-2"/>
          <c:w val="0.89990105867346371"/>
          <c:h val="0.8203328631354887"/>
        </c:manualLayout>
      </c:layout>
      <c:scatterChart>
        <c:scatterStyle val="smoothMarker"/>
        <c:ser>
          <c:idx val="0"/>
          <c:order val="0"/>
          <c:tx>
            <c:v>Curva de Titulação</c:v>
          </c:tx>
          <c:spPr>
            <a:ln w="12700">
              <a:solidFill>
                <a:srgbClr val="09007E"/>
              </a:solidFill>
              <a:prstDash val="solid"/>
            </a:ln>
          </c:spPr>
          <c:marker>
            <c:symbol val="diamond"/>
            <c:size val="6"/>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Regression!$B$41:$B$162</c:f>
              <c:numCache>
                <c:formatCode>0.0000</c:formatCode>
                <c:ptCount val="122"/>
                <c:pt idx="0">
                  <c:v>2.9292395076433086</c:v>
                </c:pt>
                <c:pt idx="1">
                  <c:v>3.0242592277261426</c:v>
                </c:pt>
                <c:pt idx="2">
                  <c:v>3.1255907235298888</c:v>
                </c:pt>
                <c:pt idx="3">
                  <c:v>3.2933397359810788</c:v>
                </c:pt>
                <c:pt idx="4">
                  <c:v>3.4516660766305347</c:v>
                </c:pt>
                <c:pt idx="5">
                  <c:v>3.5879686920942295</c:v>
                </c:pt>
                <c:pt idx="6">
                  <c:v>3.6873442574627857</c:v>
                </c:pt>
                <c:pt idx="7">
                  <c:v>3.8579930711773232</c:v>
                </c:pt>
                <c:pt idx="8">
                  <c:v>4.0025701700123921</c:v>
                </c:pt>
                <c:pt idx="9">
                  <c:v>4.126329174600178</c:v>
                </c:pt>
                <c:pt idx="10">
                  <c:v>4.2904112158044843</c:v>
                </c:pt>
                <c:pt idx="11">
                  <c:v>4.4092143226863287</c:v>
                </c:pt>
                <c:pt idx="12">
                  <c:v>4.5311235098191993</c:v>
                </c:pt>
                <c:pt idx="13">
                  <c:v>4.666521685185482</c:v>
                </c:pt>
                <c:pt idx="14">
                  <c:v>4.8585299434066762</c:v>
                </c:pt>
                <c:pt idx="15">
                  <c:v>4.9485936682870735</c:v>
                </c:pt>
                <c:pt idx="16">
                  <c:v>5.160995920721752</c:v>
                </c:pt>
                <c:pt idx="17">
                  <c:v>5.2320278461258294</c:v>
                </c:pt>
                <c:pt idx="18">
                  <c:v>5.4014090132506976</c:v>
                </c:pt>
                <c:pt idx="19">
                  <c:v>5.520561666922843</c:v>
                </c:pt>
                <c:pt idx="20">
                  <c:v>5.6553593662136379</c:v>
                </c:pt>
                <c:pt idx="21">
                  <c:v>5.7817578076145644</c:v>
                </c:pt>
                <c:pt idx="22">
                  <c:v>5.9118777988780709</c:v>
                </c:pt>
                <c:pt idx="23">
                  <c:v>6.0577402761172214</c:v>
                </c:pt>
                <c:pt idx="24">
                  <c:v>6.1770905069722941</c:v>
                </c:pt>
                <c:pt idx="25">
                  <c:v>6.4149534237326344</c:v>
                </c:pt>
                <c:pt idx="26">
                  <c:v>6.4769112381131961</c:v>
                </c:pt>
                <c:pt idx="27">
                  <c:v>6.6273230229128508</c:v>
                </c:pt>
                <c:pt idx="28">
                  <c:v>6.7758363854579944</c:v>
                </c:pt>
                <c:pt idx="29">
                  <c:v>6.9239615864208544</c:v>
                </c:pt>
                <c:pt idx="30">
                  <c:v>7.0654141329579554</c:v>
                </c:pt>
                <c:pt idx="31">
                  <c:v>7.1705109682570018</c:v>
                </c:pt>
                <c:pt idx="32">
                  <c:v>7.335126270298276</c:v>
                </c:pt>
                <c:pt idx="33">
                  <c:v>7.4488420585508965</c:v>
                </c:pt>
                <c:pt idx="34">
                  <c:v>7.6457454612215425</c:v>
                </c:pt>
                <c:pt idx="35">
                  <c:v>7.7642439426149625</c:v>
                </c:pt>
                <c:pt idx="36">
                  <c:v>7.8785707528177369</c:v>
                </c:pt>
                <c:pt idx="37">
                  <c:v>8.0312312097087091</c:v>
                </c:pt>
                <c:pt idx="38">
                  <c:v>8.1354884830845489</c:v>
                </c:pt>
                <c:pt idx="39">
                  <c:v>8.2851109395244986</c:v>
                </c:pt>
                <c:pt idx="40">
                  <c:v>8.4163256715274422</c:v>
                </c:pt>
                <c:pt idx="41">
                  <c:v>8.5162795307449155</c:v>
                </c:pt>
                <c:pt idx="42">
                  <c:v>8.7111918529670387</c:v>
                </c:pt>
                <c:pt idx="43">
                  <c:v>8.8076140254745106</c:v>
                </c:pt>
                <c:pt idx="44">
                  <c:v>8.9355029984547709</c:v>
                </c:pt>
                <c:pt idx="45">
                  <c:v>9.0741280413936671</c:v>
                </c:pt>
                <c:pt idx="46">
                  <c:v>9.2161862707342443</c:v>
                </c:pt>
                <c:pt idx="47">
                  <c:v>9.3747626213641411</c:v>
                </c:pt>
                <c:pt idx="48">
                  <c:v>9.4781753820591188</c:v>
                </c:pt>
                <c:pt idx="49">
                  <c:v>9.6143446978506706</c:v>
                </c:pt>
                <c:pt idx="50">
                  <c:v>9.7396602970849475</c:v>
                </c:pt>
                <c:pt idx="51">
                  <c:v>9.9258049194563522</c:v>
                </c:pt>
                <c:pt idx="52">
                  <c:v>10.031987109556535</c:v>
                </c:pt>
                <c:pt idx="53">
                  <c:v>10.202887247648615</c:v>
                </c:pt>
                <c:pt idx="54">
                  <c:v>10.290634401448534</c:v>
                </c:pt>
                <c:pt idx="55">
                  <c:v>10.417895616528499</c:v>
                </c:pt>
                <c:pt idx="56">
                  <c:v>10.55434135139315</c:v>
                </c:pt>
                <c:pt idx="57">
                  <c:v>10.734422648245941</c:v>
                </c:pt>
                <c:pt idx="58">
                  <c:v>10.868167724032876</c:v>
                </c:pt>
                <c:pt idx="59">
                  <c:v>10.981642393549766</c:v>
                </c:pt>
                <c:pt idx="60">
                  <c:v>11.110603281563485</c:v>
                </c:pt>
                <c:pt idx="61">
                  <c:v>11.272657863965625</c:v>
                </c:pt>
                <c:pt idx="62">
                  <c:v>11.418746344965863</c:v>
                </c:pt>
                <c:pt idx="63">
                  <c:v>11.544600449625474</c:v>
                </c:pt>
                <c:pt idx="64">
                  <c:v>11.716381262755226</c:v>
                </c:pt>
                <c:pt idx="65">
                  <c:v>11.841987918362173</c:v>
                </c:pt>
                <c:pt idx="66">
                  <c:v>11.928379050320729</c:v>
                </c:pt>
                <c:pt idx="67">
                  <c:v>12.047820911462628</c:v>
                </c:pt>
                <c:pt idx="68">
                  <c:v>12.227039328612095</c:v>
                </c:pt>
                <c:pt idx="69">
                  <c:v>12.340699770716011</c:v>
                </c:pt>
                <c:pt idx="70">
                  <c:v>12.504307661022999</c:v>
                </c:pt>
              </c:numCache>
            </c:numRef>
          </c:yVal>
          <c:smooth val="1"/>
        </c:ser>
        <c:ser>
          <c:idx val="1"/>
          <c:order val="1"/>
          <c:tx>
            <c:v>pHs_ajustados</c:v>
          </c:tx>
          <c:spPr>
            <a:ln w="12700">
              <a:solidFill>
                <a:srgbClr val="FF0000"/>
              </a:solidFill>
              <a:prstDash val="solid"/>
            </a:ln>
          </c:spPr>
          <c:marker>
            <c:symbol val="circle"/>
            <c:size val="3"/>
            <c:spPr>
              <a:solidFill>
                <a:srgbClr val="FFFF99"/>
              </a:solidFill>
              <a:ln>
                <a:solidFill>
                  <a:srgbClr val="FF0000"/>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Regression!$C$41:$C$162</c:f>
              <c:numCache>
                <c:formatCode>0.0000</c:formatCode>
                <c:ptCount val="122"/>
                <c:pt idx="0">
                  <c:v>2.8861618041992187</c:v>
                </c:pt>
                <c:pt idx="1">
                  <c:v>3.0255355834960938</c:v>
                </c:pt>
                <c:pt idx="2">
                  <c:v>3.1648178100585937</c:v>
                </c:pt>
                <c:pt idx="3">
                  <c:v>3.3038558959960938</c:v>
                </c:pt>
                <c:pt idx="4">
                  <c:v>3.4426345825195313</c:v>
                </c:pt>
                <c:pt idx="5">
                  <c:v>3.5813674926757812</c:v>
                </c:pt>
                <c:pt idx="6">
                  <c:v>3.7205734252929687</c:v>
                </c:pt>
                <c:pt idx="7">
                  <c:v>3.8588485717773437</c:v>
                </c:pt>
                <c:pt idx="8">
                  <c:v>3.9975051879882813</c:v>
                </c:pt>
                <c:pt idx="9">
                  <c:v>4.1369247436523437</c:v>
                </c:pt>
                <c:pt idx="10">
                  <c:v>4.2750167846679687</c:v>
                </c:pt>
                <c:pt idx="11">
                  <c:v>4.4148788452148437</c:v>
                </c:pt>
                <c:pt idx="12">
                  <c:v>4.5546188354492187</c:v>
                </c:pt>
                <c:pt idx="13">
                  <c:v>4.6936111450195313</c:v>
                </c:pt>
                <c:pt idx="14">
                  <c:v>4.8298263549804687</c:v>
                </c:pt>
                <c:pt idx="15">
                  <c:v>4.9705123901367188</c:v>
                </c:pt>
                <c:pt idx="16">
                  <c:v>5.1053695678710938</c:v>
                </c:pt>
                <c:pt idx="17">
                  <c:v>5.2468643188476562</c:v>
                </c:pt>
                <c:pt idx="18">
                  <c:v>5.3834457397460937</c:v>
                </c:pt>
                <c:pt idx="19">
                  <c:v>5.5227127075195312</c:v>
                </c:pt>
                <c:pt idx="20">
                  <c:v>5.6611404418945313</c:v>
                </c:pt>
                <c:pt idx="21">
                  <c:v>5.8000106811523437</c:v>
                </c:pt>
                <c:pt idx="22">
                  <c:v>5.9385147094726562</c:v>
                </c:pt>
                <c:pt idx="23">
                  <c:v>6.0759658813476562</c:v>
                </c:pt>
                <c:pt idx="24">
                  <c:v>6.2145309448242188</c:v>
                </c:pt>
                <c:pt idx="25">
                  <c:v>6.3485183715820313</c:v>
                </c:pt>
                <c:pt idx="26">
                  <c:v>6.4887008666992187</c:v>
                </c:pt>
                <c:pt idx="27">
                  <c:v>6.6259994506835937</c:v>
                </c:pt>
                <c:pt idx="28">
                  <c:v>6.7635574340820313</c:v>
                </c:pt>
                <c:pt idx="29">
                  <c:v>6.9013900756835937</c:v>
                </c:pt>
                <c:pt idx="30">
                  <c:v>7.0395736694335938</c:v>
                </c:pt>
                <c:pt idx="31">
                  <c:v>7.1782913208007812</c:v>
                </c:pt>
                <c:pt idx="32">
                  <c:v>7.3167953491210938</c:v>
                </c:pt>
                <c:pt idx="33">
                  <c:v>7.4554824829101563</c:v>
                </c:pt>
                <c:pt idx="34">
                  <c:v>7.5933609008789062</c:v>
                </c:pt>
                <c:pt idx="35">
                  <c:v>7.7303237915039062</c:v>
                </c:pt>
                <c:pt idx="36">
                  <c:v>7.8659439086914063</c:v>
                </c:pt>
                <c:pt idx="37">
                  <c:v>8.0005874633789062</c:v>
                </c:pt>
                <c:pt idx="38">
                  <c:v>8.1348800659179687</c:v>
                </c:pt>
                <c:pt idx="39">
                  <c:v>8.2692489624023437</c:v>
                </c:pt>
                <c:pt idx="40">
                  <c:v>8.4039230346679687</c:v>
                </c:pt>
                <c:pt idx="41">
                  <c:v>8.5389633178710937</c:v>
                </c:pt>
                <c:pt idx="42">
                  <c:v>8.6742782592773437</c:v>
                </c:pt>
                <c:pt idx="43">
                  <c:v>8.8099288940429687</c:v>
                </c:pt>
                <c:pt idx="44">
                  <c:v>8.9457473754882812</c:v>
                </c:pt>
                <c:pt idx="45">
                  <c:v>9.0817184448242187</c:v>
                </c:pt>
                <c:pt idx="46">
                  <c:v>9.2177658081054687</c:v>
                </c:pt>
                <c:pt idx="47">
                  <c:v>9.3538589477539062</c:v>
                </c:pt>
                <c:pt idx="48">
                  <c:v>9.4900741577148437</c:v>
                </c:pt>
                <c:pt idx="49">
                  <c:v>9.6262283325195312</c:v>
                </c:pt>
                <c:pt idx="50">
                  <c:v>9.7623672485351562</c:v>
                </c:pt>
                <c:pt idx="51">
                  <c:v>9.8983230590820312</c:v>
                </c:pt>
                <c:pt idx="52">
                  <c:v>10.034309387207031</c:v>
                </c:pt>
                <c:pt idx="53">
                  <c:v>10.170051574707031</c:v>
                </c:pt>
                <c:pt idx="54">
                  <c:v>10.305747985839844</c:v>
                </c:pt>
                <c:pt idx="55">
                  <c:v>10.441261291503906</c:v>
                </c:pt>
                <c:pt idx="56">
                  <c:v>10.576713562011719</c:v>
                </c:pt>
                <c:pt idx="57">
                  <c:v>10.712287902832031</c:v>
                </c:pt>
                <c:pt idx="58">
                  <c:v>10.848320007324219</c:v>
                </c:pt>
                <c:pt idx="59">
                  <c:v>10.984977722167969</c:v>
                </c:pt>
                <c:pt idx="60">
                  <c:v>11.122184753417969</c:v>
                </c:pt>
                <c:pt idx="61">
                  <c:v>11.259651184082031</c:v>
                </c:pt>
                <c:pt idx="62">
                  <c:v>11.397163391113281</c:v>
                </c:pt>
                <c:pt idx="63">
                  <c:v>11.534584045410156</c:v>
                </c:pt>
                <c:pt idx="64">
                  <c:v>11.671730041503906</c:v>
                </c:pt>
                <c:pt idx="65">
                  <c:v>11.808845520019531</c:v>
                </c:pt>
                <c:pt idx="66">
                  <c:v>11.946022033691406</c:v>
                </c:pt>
                <c:pt idx="67">
                  <c:v>12.083091735839844</c:v>
                </c:pt>
                <c:pt idx="68">
                  <c:v>12.219718933105469</c:v>
                </c:pt>
                <c:pt idx="69">
                  <c:v>12.356880187988281</c:v>
                </c:pt>
                <c:pt idx="70">
                  <c:v>12.493522644042969</c:v>
                </c:pt>
              </c:numCache>
            </c:numRef>
          </c:yVal>
          <c:smooth val="1"/>
        </c:ser>
        <c:axId val="278873984"/>
        <c:axId val="278876544"/>
      </c:scatterChart>
      <c:valAx>
        <c:axId val="278873984"/>
        <c:scaling>
          <c:orientation val="minMax"/>
        </c:scaling>
        <c:axPos val="b"/>
        <c:majorGridlines/>
        <c:title>
          <c:tx>
            <c:rich>
              <a:bodyPr/>
              <a:lstStyle/>
              <a:p>
                <a:pPr>
                  <a:defRPr sz="1050" b="1" i="0" u="none" strike="noStrike" baseline="0">
                    <a:solidFill>
                      <a:srgbClr val="000000"/>
                    </a:solidFill>
                    <a:latin typeface="Arial"/>
                    <a:ea typeface="Arial"/>
                    <a:cs typeface="Arial"/>
                  </a:defRPr>
                </a:pPr>
                <a:r>
                  <a:rPr lang="pt-BR"/>
                  <a:t>Titrant volume (mL)</a:t>
                </a:r>
              </a:p>
            </c:rich>
          </c:tx>
          <c:layout>
            <c:manualLayout>
              <c:xMode val="edge"/>
              <c:yMode val="edge"/>
              <c:x val="0.43819173919049592"/>
              <c:y val="0.9484614038629785"/>
            </c:manualLayout>
          </c:layout>
          <c:spPr>
            <a:noFill/>
            <a:ln w="25400">
              <a:noFill/>
            </a:ln>
          </c:spPr>
        </c:title>
        <c:numFmt formatCode="0.0" sourceLinked="0"/>
        <c:majorTickMark val="cross"/>
        <c:minorTickMark val="out"/>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278876544"/>
        <c:crosses val="autoZero"/>
        <c:crossBetween val="midCat"/>
      </c:valAx>
      <c:valAx>
        <c:axId val="278876544"/>
        <c:scaling>
          <c:orientation val="minMax"/>
        </c:scaling>
        <c:axPos val="l"/>
        <c:majorGridlines>
          <c:spPr>
            <a:ln w="3175">
              <a:solidFill>
                <a:srgbClr val="000000"/>
              </a:solidFill>
              <a:prstDash val="sysDash"/>
            </a:ln>
          </c:spPr>
        </c:majorGridlines>
        <c:title>
          <c:tx>
            <c:rich>
              <a:bodyPr/>
              <a:lstStyle/>
              <a:p>
                <a:pPr>
                  <a:defRPr sz="1050" b="1" i="0" u="none" strike="noStrike" baseline="0">
                    <a:solidFill>
                      <a:srgbClr val="000000"/>
                    </a:solidFill>
                    <a:latin typeface="Arial"/>
                    <a:ea typeface="Arial"/>
                    <a:cs typeface="Arial"/>
                  </a:defRPr>
                </a:pPr>
                <a:r>
                  <a:rPr lang="pt-BR"/>
                  <a:t>pH</a:t>
                </a:r>
              </a:p>
            </c:rich>
          </c:tx>
          <c:layout>
            <c:manualLayout>
              <c:xMode val="edge"/>
              <c:yMode val="edge"/>
              <c:x val="7.1735171859498466E-3"/>
              <c:y val="0.4344276196244703"/>
            </c:manualLayout>
          </c:layout>
          <c:spPr>
            <a:noFill/>
            <a:ln w="25400">
              <a:noFill/>
            </a:ln>
          </c:spPr>
        </c:title>
        <c:numFmt formatCode="0.0" sourceLinked="0"/>
        <c:minorTickMark val="cross"/>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27887398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(CH</a:t>
            </a:r>
            <a:r>
              <a:rPr lang="pl-PL" sz="1100" b="1" i="0" u="none" strike="noStrike" baseline="-25000">
                <a:solidFill>
                  <a:srgbClr val="000000"/>
                </a:solidFill>
                <a:latin typeface="Arial"/>
                <a:cs typeface="Arial"/>
              </a:rPr>
              <a:t>reg </a:t>
            </a:r>
            <a:r>
              <a:rPr lang="pl-PL" sz="1100" b="1" i="0" u="none" strike="noStrike" baseline="0">
                <a:solidFill>
                  <a:srgbClr val="000000"/>
                </a:solidFill>
                <a:latin typeface="Arial"/>
                <a:cs typeface="Arial"/>
              </a:rPr>
              <a:t>- CH</a:t>
            </a:r>
            <a:r>
              <a:rPr lang="pl-PL" sz="1100" b="1" i="0" u="none" strike="noStrike" baseline="-25000">
                <a:solidFill>
                  <a:srgbClr val="000000"/>
                </a:solidFill>
                <a:latin typeface="Arial"/>
                <a:cs typeface="Arial"/>
              </a:rPr>
              <a:t>calc</a:t>
            </a:r>
            <a:r>
              <a:rPr lang="pl-PL" sz="1100" b="1" i="0" u="none" strike="noStrike" baseline="0">
                <a:solidFill>
                  <a:srgbClr val="000000"/>
                </a:solidFill>
                <a:latin typeface="Arial"/>
                <a:cs typeface="Arial"/>
              </a:rPr>
              <a:t>)</a:t>
            </a:r>
          </a:p>
        </c:rich>
      </c:tx>
      <c:layout>
        <c:manualLayout>
          <c:xMode val="edge"/>
          <c:yMode val="edge"/>
          <c:x val="0.39183982868567441"/>
          <c:y val="4.9700583543561931E-3"/>
        </c:manualLayout>
      </c:layout>
      <c:spPr>
        <a:noFill/>
        <a:ln w="25400">
          <a:noFill/>
        </a:ln>
      </c:spPr>
    </c:title>
    <c:plotArea>
      <c:layout>
        <c:manualLayout>
          <c:layoutTarget val="inner"/>
          <c:xMode val="edge"/>
          <c:yMode val="edge"/>
          <c:x val="0.17225237409237068"/>
          <c:y val="9.859904867233156E-2"/>
          <c:w val="0.7826294887502373"/>
          <c:h val="0.68290513118118801"/>
        </c:manualLayout>
      </c:layout>
      <c:scatterChart>
        <c:scatterStyle val="smoothMarker"/>
        <c:ser>
          <c:idx val="0"/>
          <c:order val="0"/>
          <c:tx>
            <c:v>Residues</c:v>
          </c:tx>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Regression!$H$41:$H$162</c:f>
              <c:numCache>
                <c:formatCode>0.000E+00</c:formatCode>
                <c:ptCount val="122"/>
                <c:pt idx="0">
                  <c:v>1.4024049738947941E-3</c:v>
                </c:pt>
                <c:pt idx="1">
                  <c:v>-3.7691325820238264E-5</c:v>
                </c:pt>
                <c:pt idx="2">
                  <c:v>-1.0392366652692969E-3</c:v>
                </c:pt>
                <c:pt idx="3">
                  <c:v>-2.4222253401001703E-4</c:v>
                </c:pt>
                <c:pt idx="4">
                  <c:v>1.8090095234332693E-4</c:v>
                </c:pt>
                <c:pt idx="5">
                  <c:v>1.1673682049982703E-4</c:v>
                </c:pt>
                <c:pt idx="6">
                  <c:v>-5.3460989467926656E-4</c:v>
                </c:pt>
                <c:pt idx="7">
                  <c:v>-1.2653517391089664E-5</c:v>
                </c:pt>
                <c:pt idx="8">
                  <c:v>7.2120812382600596E-5</c:v>
                </c:pt>
                <c:pt idx="9">
                  <c:v>-1.4886213960373096E-4</c:v>
                </c:pt>
                <c:pt idx="10">
                  <c:v>2.1653433124098342E-4</c:v>
                </c:pt>
                <c:pt idx="11">
                  <c:v>-7.8998509212835355E-5</c:v>
                </c:pt>
                <c:pt idx="12">
                  <c:v>-3.2068479338860645E-4</c:v>
                </c:pt>
                <c:pt idx="13">
                  <c:v>-3.5457837234458001E-4</c:v>
                </c:pt>
                <c:pt idx="14">
                  <c:v>3.5157903446562944E-4</c:v>
                </c:pt>
                <c:pt idx="15">
                  <c:v>-2.5393719022839822E-4</c:v>
                </c:pt>
                <c:pt idx="16">
                  <c:v>6.0684542198774505E-4</c:v>
                </c:pt>
                <c:pt idx="17">
                  <c:v>-1.5750206836682989E-4</c:v>
                </c:pt>
                <c:pt idx="18">
                  <c:v>1.8929085172851579E-4</c:v>
                </c:pt>
                <c:pt idx="19">
                  <c:v>-2.2797782649325304E-5</c:v>
                </c:pt>
                <c:pt idx="20">
                  <c:v>-6.1552874618883702E-5</c:v>
                </c:pt>
                <c:pt idx="21">
                  <c:v>-1.9232035015635807E-4</c:v>
                </c:pt>
                <c:pt idx="22">
                  <c:v>-2.6946096419705468E-4</c:v>
                </c:pt>
                <c:pt idx="23">
                  <c:v>-1.6986718409160717E-4</c:v>
                </c:pt>
                <c:pt idx="24">
                  <c:v>-3.1172435840320922E-4</c:v>
                </c:pt>
                <c:pt idx="25">
                  <c:v>4.4429016637838326E-4</c:v>
                </c:pt>
                <c:pt idx="26">
                  <c:v>-6.8132089769870618E-5</c:v>
                </c:pt>
                <c:pt idx="27">
                  <c:v>6.0758789479642417E-6</c:v>
                </c:pt>
                <c:pt idx="28">
                  <c:v>4.3905024274884519E-5</c:v>
                </c:pt>
                <c:pt idx="29">
                  <c:v>6.2113207601188769E-5</c:v>
                </c:pt>
                <c:pt idx="30">
                  <c:v>5.4841483291198645E-5</c:v>
                </c:pt>
                <c:pt idx="31">
                  <c:v>-1.3241509941572249E-5</c:v>
                </c:pt>
                <c:pt idx="32">
                  <c:v>2.4383213645146062E-5</c:v>
                </c:pt>
                <c:pt idx="33">
                  <c:v>-7.4872696816108419E-6</c:v>
                </c:pt>
                <c:pt idx="34">
                  <c:v>5.1750416639739782E-5</c:v>
                </c:pt>
                <c:pt idx="35">
                  <c:v>3.3046269076755785E-5</c:v>
                </c:pt>
                <c:pt idx="36">
                  <c:v>1.3088660181917455E-5</c:v>
                </c:pt>
                <c:pt idx="37">
                  <c:v>3.7005569680184647E-5</c:v>
                </c:pt>
                <c:pt idx="38">
                  <c:v>8.6676895647008756E-7</c:v>
                </c:pt>
                <c:pt idx="39">
                  <c:v>2.9050495386068187E-5</c:v>
                </c:pt>
                <c:pt idx="40">
                  <c:v>2.8990502034011156E-5</c:v>
                </c:pt>
                <c:pt idx="41">
                  <c:v>-6.5996840593066097E-5</c:v>
                </c:pt>
                <c:pt idx="42">
                  <c:v>1.453221675273772E-4</c:v>
                </c:pt>
                <c:pt idx="43">
                  <c:v>-1.1110037801569106E-5</c:v>
                </c:pt>
                <c:pt idx="44">
                  <c:v>-6.0795175495793885E-5</c:v>
                </c:pt>
                <c:pt idx="45">
                  <c:v>-5.4604854261196267E-5</c:v>
                </c:pt>
                <c:pt idx="46">
                  <c:v>-1.3431937002629513E-5</c:v>
                </c:pt>
                <c:pt idx="47">
                  <c:v>2.0145336695005789E-4</c:v>
                </c:pt>
                <c:pt idx="48">
                  <c:v>-1.2249832229380142E-4</c:v>
                </c:pt>
                <c:pt idx="49">
                  <c:v>-1.2637290353798708E-4</c:v>
                </c:pt>
                <c:pt idx="50">
                  <c:v>-2.3804379461566522E-4</c:v>
                </c:pt>
                <c:pt idx="51">
                  <c:v>2.6831624661043108E-4</c:v>
                </c:pt>
                <c:pt idx="52">
                  <c:v>-2.0662118912197214E-5</c:v>
                </c:pt>
                <c:pt idx="53">
                  <c:v>2.5137385275059154E-4</c:v>
                </c:pt>
                <c:pt idx="54">
                  <c:v>-1.0191475186061699E-4</c:v>
                </c:pt>
                <c:pt idx="55">
                  <c:v>-1.3529289926442201E-4</c:v>
                </c:pt>
                <c:pt idx="56">
                  <c:v>-1.1232414382304073E-4</c:v>
                </c:pt>
                <c:pt idx="57">
                  <c:v>9.9138579824235851E-5</c:v>
                </c:pt>
                <c:pt idx="58">
                  <c:v>8.6291426802047322E-5</c:v>
                </c:pt>
                <c:pt idx="59">
                  <c:v>-1.5178814999121382E-5</c:v>
                </c:pt>
                <c:pt idx="60">
                  <c:v>-5.9401770813011234E-5</c:v>
                </c:pt>
                <c:pt idx="61">
                  <c:v>8.2647646970662736E-5</c:v>
                </c:pt>
                <c:pt idx="62">
                  <c:v>1.7698508100296578E-4</c:v>
                </c:pt>
                <c:pt idx="63">
                  <c:v>1.070712595718018E-4</c:v>
                </c:pt>
                <c:pt idx="64">
                  <c:v>6.6555525909586105E-4</c:v>
                </c:pt>
                <c:pt idx="65">
                  <c:v>6.6161066526472523E-4</c:v>
                </c:pt>
                <c:pt idx="66">
                  <c:v>-4.5322031149629127E-4</c:v>
                </c:pt>
                <c:pt idx="67">
                  <c:v>-1.2129063431467815E-3</c:v>
                </c:pt>
                <c:pt idx="68">
                  <c:v>3.6209156534136588E-4</c:v>
                </c:pt>
                <c:pt idx="69">
                  <c:v>-1.0669085774660178E-3</c:v>
                </c:pt>
                <c:pt idx="70">
                  <c:v>1.0058191361252342E-3</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278881408"/>
        <c:axId val="279054592"/>
      </c:scatterChart>
      <c:valAx>
        <c:axId val="278881408"/>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2555312354908714"/>
              <c:y val="0.89658843615421868"/>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79054592"/>
        <c:crosses val="autoZero"/>
        <c:crossBetween val="midCat"/>
      </c:valAx>
      <c:valAx>
        <c:axId val="279054592"/>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CH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-CH</a:t>
                </a:r>
                <a:r>
                  <a:rPr lang="pl-PL" sz="800" b="1" i="0" u="none" strike="noStrike" baseline="0">
                    <a:solidFill>
                      <a:srgbClr val="000000"/>
                    </a:solidFill>
                    <a:latin typeface="Arial"/>
                    <a:cs typeface="Arial"/>
                  </a:rPr>
                  <a:t>calc</a:t>
                </a:r>
                <a:endParaRPr lang="pl-PL" sz="1075" b="1" i="0" u="none" strike="noStrike" baseline="0">
                  <a:solidFill>
                    <a:srgbClr val="000000"/>
                  </a:solidFill>
                  <a:latin typeface="Arial"/>
                  <a:cs typeface="Arial"/>
                </a:endParaRP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2.1922169476107914E-3"/>
              <c:y val="0.19896185306933728"/>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78881408"/>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chartSpace>
</file>

<file path=xl/charts/chart1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(pH</a:t>
            </a:r>
            <a:r>
              <a:rPr lang="pl-PL" sz="1200" b="1" i="0" u="none" strike="noStrike" baseline="-25000">
                <a:solidFill>
                  <a:srgbClr val="000000"/>
                </a:solidFill>
                <a:latin typeface="Arial"/>
                <a:cs typeface="Arial"/>
              </a:rPr>
              <a:t>reg</a:t>
            </a:r>
            <a:r>
              <a:rPr lang="pl-PL" sz="1200" b="1" i="0" u="none" strike="noStrike" baseline="0">
                <a:solidFill>
                  <a:srgbClr val="000000"/>
                </a:solidFill>
                <a:latin typeface="Arial"/>
                <a:cs typeface="Arial"/>
              </a:rPr>
              <a:t> </a:t>
            </a:r>
            <a:r>
              <a:rPr lang="pl-PL" sz="1100" b="1" i="0" u="none" strike="noStrike" baseline="0">
                <a:solidFill>
                  <a:srgbClr val="000000"/>
                </a:solidFill>
                <a:latin typeface="Arial"/>
                <a:cs typeface="Arial"/>
              </a:rPr>
              <a:t>- pH)   </a:t>
            </a:r>
            <a:r>
              <a:rPr lang="pl-PL" sz="1100" b="0" i="0" u="none" strike="noStrike" baseline="0">
                <a:solidFill>
                  <a:srgbClr val="FF0000"/>
                </a:solidFill>
                <a:latin typeface="Arial"/>
                <a:cs typeface="Arial"/>
              </a:rPr>
              <a:t>To update click Overlay curve (E22)</a:t>
            </a:r>
          </a:p>
        </c:rich>
      </c:tx>
      <c:layout>
        <c:manualLayout>
          <c:xMode val="edge"/>
          <c:yMode val="edge"/>
          <c:x val="0.19591307843276354"/>
          <c:y val="4.545340923293683E-3"/>
        </c:manualLayout>
      </c:layout>
      <c:spPr>
        <a:noFill/>
        <a:ln w="25400">
          <a:noFill/>
        </a:ln>
      </c:spPr>
    </c:title>
    <c:plotArea>
      <c:layout>
        <c:manualLayout>
          <c:layoutTarget val="inner"/>
          <c:xMode val="edge"/>
          <c:yMode val="edge"/>
          <c:x val="0.17399292284356441"/>
          <c:y val="0.10979940599595329"/>
          <c:w val="0.78571569102651961"/>
          <c:h val="0.70070979700710045"/>
        </c:manualLayout>
      </c:layout>
      <c:scatterChart>
        <c:scatterStyle val="smoothMarker"/>
        <c:ser>
          <c:idx val="0"/>
          <c:order val="0"/>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Regression!$AW$41:$AW$162</c:f>
              <c:numCache>
                <c:formatCode>0.0000</c:formatCode>
                <c:ptCount val="122"/>
                <c:pt idx="0">
                  <c:v>-4.3077703444089899E-2</c:v>
                </c:pt>
                <c:pt idx="1">
                  <c:v>1.2763557699511097E-3</c:v>
                </c:pt>
                <c:pt idx="2">
                  <c:v>3.9227086528704991E-2</c:v>
                </c:pt>
                <c:pt idx="3">
                  <c:v>1.0516160015014986E-2</c:v>
                </c:pt>
                <c:pt idx="4">
                  <c:v>-9.0314941110034574E-3</c:v>
                </c:pt>
                <c:pt idx="5">
                  <c:v>-6.6011994184482781E-3</c:v>
                </c:pt>
                <c:pt idx="6">
                  <c:v>3.3229167830183037E-2</c:v>
                </c:pt>
                <c:pt idx="7">
                  <c:v>8.555006000205978E-4</c:v>
                </c:pt>
                <c:pt idx="8">
                  <c:v>-5.0649820241108756E-3</c:v>
                </c:pt>
                <c:pt idx="9">
                  <c:v>1.0595569052165743E-2</c:v>
                </c:pt>
                <c:pt idx="10">
                  <c:v>-1.5394431136515507E-2</c:v>
                </c:pt>
                <c:pt idx="11">
                  <c:v>5.6645225285150147E-3</c:v>
                </c:pt>
                <c:pt idx="12">
                  <c:v>2.3495325630019437E-2</c:v>
                </c:pt>
                <c:pt idx="13">
                  <c:v>2.7089459834049201E-2</c:v>
                </c:pt>
                <c:pt idx="14">
                  <c:v>-2.870358842620746E-2</c:v>
                </c:pt>
                <c:pt idx="15">
                  <c:v>2.1918721849645273E-2</c:v>
                </c:pt>
                <c:pt idx="16">
                  <c:v>-5.5626352850658201E-2</c:v>
                </c:pt>
                <c:pt idx="17">
                  <c:v>1.4836472721826865E-2</c:v>
                </c:pt>
                <c:pt idx="18">
                  <c:v>-1.7963273504603805E-2</c:v>
                </c:pt>
                <c:pt idx="19">
                  <c:v>2.1510405966882473E-3</c:v>
                </c:pt>
                <c:pt idx="20">
                  <c:v>5.7810756808933661E-3</c:v>
                </c:pt>
                <c:pt idx="21">
                  <c:v>1.8252873537779379E-2</c:v>
                </c:pt>
                <c:pt idx="22">
                  <c:v>2.6636910594585395E-2</c:v>
                </c:pt>
                <c:pt idx="23">
                  <c:v>1.8225605230434816E-2</c:v>
                </c:pt>
                <c:pt idx="24">
                  <c:v>3.7440437851924635E-2</c:v>
                </c:pt>
                <c:pt idx="25">
                  <c:v>-6.6435052150603191E-2</c:v>
                </c:pt>
                <c:pt idx="26">
                  <c:v>1.1789628586022616E-2</c:v>
                </c:pt>
                <c:pt idx="27">
                  <c:v>-1.3235722292570529E-3</c:v>
                </c:pt>
                <c:pt idx="28">
                  <c:v>-1.2278951375963132E-2</c:v>
                </c:pt>
                <c:pt idx="29">
                  <c:v>-2.2571510737260603E-2</c:v>
                </c:pt>
                <c:pt idx="30">
                  <c:v>-2.5840463524361645E-2</c:v>
                </c:pt>
                <c:pt idx="31">
                  <c:v>7.7803525437794008E-3</c:v>
                </c:pt>
                <c:pt idx="32">
                  <c:v>-1.8330921177182269E-2</c:v>
                </c:pt>
                <c:pt idx="33">
                  <c:v>6.6404243592597112E-3</c:v>
                </c:pt>
                <c:pt idx="34">
                  <c:v>-5.2384560342636277E-2</c:v>
                </c:pt>
                <c:pt idx="35">
                  <c:v>-3.3920151111056285E-2</c:v>
                </c:pt>
                <c:pt idx="36">
                  <c:v>-1.2626844126330639E-2</c:v>
                </c:pt>
                <c:pt idx="37">
                  <c:v>-3.0643746329802823E-2</c:v>
                </c:pt>
                <c:pt idx="38">
                  <c:v>-6.084171665801108E-4</c:v>
                </c:pt>
                <c:pt idx="39">
                  <c:v>-1.5861977122154869E-2</c:v>
                </c:pt>
                <c:pt idx="40">
                  <c:v>-1.2402636859473404E-2</c:v>
                </c:pt>
                <c:pt idx="41">
                  <c:v>2.2683787126178245E-2</c:v>
                </c:pt>
                <c:pt idx="42">
                  <c:v>-3.6913593689694935E-2</c:v>
                </c:pt>
                <c:pt idx="43">
                  <c:v>2.3148685684581949E-3</c:v>
                </c:pt>
                <c:pt idx="44">
                  <c:v>1.0244377033510332E-2</c:v>
                </c:pt>
                <c:pt idx="45">
                  <c:v>7.5904034305516177E-3</c:v>
                </c:pt>
                <c:pt idx="46">
                  <c:v>1.5795373712244043E-3</c:v>
                </c:pt>
                <c:pt idx="47">
                  <c:v>-2.0903673610234819E-2</c:v>
                </c:pt>
                <c:pt idx="48">
                  <c:v>1.1898775655724947E-2</c:v>
                </c:pt>
                <c:pt idx="49">
                  <c:v>1.1883634668860665E-2</c:v>
                </c:pt>
                <c:pt idx="50">
                  <c:v>2.2706951450208734E-2</c:v>
                </c:pt>
                <c:pt idx="51">
                  <c:v>-2.7481860374320988E-2</c:v>
                </c:pt>
                <c:pt idx="52">
                  <c:v>2.3222776504958631E-3</c:v>
                </c:pt>
                <c:pt idx="53">
                  <c:v>-3.2835672941583738E-2</c:v>
                </c:pt>
                <c:pt idx="54">
                  <c:v>1.5113584391309942E-2</c:v>
                </c:pt>
                <c:pt idx="55">
                  <c:v>2.3365674975407202E-2</c:v>
                </c:pt>
                <c:pt idx="56">
                  <c:v>2.2372210618568644E-2</c:v>
                </c:pt>
                <c:pt idx="57">
                  <c:v>-2.2134745413909584E-2</c:v>
                </c:pt>
                <c:pt idx="58">
                  <c:v>-1.9847716708657259E-2</c:v>
                </c:pt>
                <c:pt idx="59">
                  <c:v>3.3353286182027375E-3</c:v>
                </c:pt>
                <c:pt idx="60">
                  <c:v>1.1581471854483993E-2</c:v>
                </c:pt>
                <c:pt idx="61">
                  <c:v>-1.3006679883593719E-2</c:v>
                </c:pt>
                <c:pt idx="62">
                  <c:v>-2.1582953852581355E-2</c:v>
                </c:pt>
                <c:pt idx="63">
                  <c:v>-1.0016404215317465E-2</c:v>
                </c:pt>
                <c:pt idx="64">
                  <c:v>-4.4651221251319484E-2</c:v>
                </c:pt>
                <c:pt idx="65">
                  <c:v>-3.314239834264221E-2</c:v>
                </c:pt>
                <c:pt idx="66">
                  <c:v>1.7642983370677712E-2</c:v>
                </c:pt>
                <c:pt idx="67">
                  <c:v>3.5270824377215959E-2</c:v>
                </c:pt>
                <c:pt idx="68">
                  <c:v>-7.3203955066265536E-3</c:v>
                </c:pt>
                <c:pt idx="69">
                  <c:v>1.6180417272270375E-2</c:v>
                </c:pt>
                <c:pt idx="70">
                  <c:v>-1.0785016980030093E-2</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279083648"/>
        <c:axId val="279113728"/>
      </c:scatterChart>
      <c:valAx>
        <c:axId val="279083648"/>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3223532193610925"/>
              <c:y val="0.90470373021554151"/>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79113728"/>
        <c:crosses val="autoZero"/>
        <c:crossBetween val="midCat"/>
      </c:valAx>
      <c:valAx>
        <c:axId val="279113728"/>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pH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-pH</a:t>
                </a: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7.1428909224184817E-3"/>
              <c:y val="0.31240822169956051"/>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79083648"/>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400" b="1" i="0" u="none" strike="noStrike" baseline="0">
                <a:solidFill>
                  <a:srgbClr val="000000"/>
                </a:solidFill>
                <a:latin typeface="Arial"/>
                <a:ea typeface="Arial"/>
                <a:cs typeface="Arial"/>
              </a:defRPr>
            </a:pPr>
            <a:r>
              <a:rPr lang="pt-BR"/>
              <a:t>Titration curve(s) and/or derivative(s)</a:t>
            </a:r>
          </a:p>
        </c:rich>
      </c:tx>
      <c:layout>
        <c:manualLayout>
          <c:xMode val="edge"/>
          <c:yMode val="edge"/>
          <c:x val="0.30557384872345511"/>
          <c:y val="3.7650466105529933E-3"/>
        </c:manualLayout>
      </c:layout>
      <c:spPr>
        <a:noFill/>
        <a:ln w="25400">
          <a:noFill/>
        </a:ln>
      </c:spPr>
    </c:title>
    <c:plotArea>
      <c:layout>
        <c:manualLayout>
          <c:layoutTarget val="inner"/>
          <c:xMode val="edge"/>
          <c:yMode val="edge"/>
          <c:x val="9.9889636380643507E-2"/>
          <c:y val="6.6322963841114524E-2"/>
          <c:w val="0.87128712871287128"/>
          <c:h val="0.80651491879734627"/>
        </c:manualLayout>
      </c:layout>
      <c:scatterChart>
        <c:scatterStyle val="smoothMarker"/>
        <c:ser>
          <c:idx val="1"/>
          <c:order val="0"/>
          <c:tx>
            <c:v>Sim_0</c:v>
          </c:tx>
          <c:spPr>
            <a:ln w="25400">
              <a:solidFill>
                <a:srgbClr val="FF0000"/>
              </a:solidFill>
              <a:prstDash val="solid"/>
            </a:ln>
          </c:spPr>
          <c:marker>
            <c:symbol val="circle"/>
            <c:size val="6"/>
            <c:spPr>
              <a:solidFill>
                <a:srgbClr val="F4EE00"/>
              </a:solidFill>
              <a:ln>
                <a:solidFill>
                  <a:srgbClr val="FF0000"/>
                </a:solidFill>
                <a:prstDash val="solid"/>
              </a:ln>
            </c:spPr>
          </c:marker>
          <c:xVal>
            <c:numRef>
              <c:f>Graphs!$R$11:$R$312</c:f>
              <c:numCache>
                <c:formatCode>General</c:formatCode>
                <c:ptCount val="302"/>
                <c:pt idx="0">
                  <c:v>0</c:v>
                </c:pt>
                <c:pt idx="1">
                  <c:v>2.1570917087956332</c:v>
                </c:pt>
                <c:pt idx="2">
                  <c:v>4.0960384285426699</c:v>
                </c:pt>
                <c:pt idx="3">
                  <c:v>5.7539623652701266</c:v>
                </c:pt>
                <c:pt idx="4">
                  <c:v>7.0770850390545093</c:v>
                </c:pt>
                <c:pt idx="5">
                  <c:v>8.060804101114627</c:v>
                </c:pt>
                <c:pt idx="6">
                  <c:v>8.7492475504404865</c:v>
                </c:pt>
                <c:pt idx="7">
                  <c:v>9.2095433516078629</c:v>
                </c:pt>
                <c:pt idx="8">
                  <c:v>9.5078176775132306</c:v>
                </c:pt>
                <c:pt idx="9">
                  <c:v>9.6974923231755383</c:v>
                </c:pt>
                <c:pt idx="10">
                  <c:v>9.8172888814588077</c:v>
                </c:pt>
                <c:pt idx="11">
                  <c:v>9.8936794631299563</c:v>
                </c:pt>
                <c:pt idx="12">
                  <c:v>9.9443849801900797</c:v>
                </c:pt>
                <c:pt idx="13">
                  <c:v>9.9815251436666586</c:v>
                </c:pt>
                <c:pt idx="14">
                  <c:v>10.014129265618976</c:v>
                </c:pt>
                <c:pt idx="15">
                  <c:v>10.050161390972789</c:v>
                </c:pt>
                <c:pt idx="16">
                  <c:v>10.09834472934017</c:v>
                </c:pt>
                <c:pt idx="17">
                  <c:v>10.170080677198712</c:v>
                </c:pt>
                <c:pt idx="18">
                  <c:v>10.281694422883447</c:v>
                </c:pt>
                <c:pt idx="19">
                  <c:v>10.45702534756856</c:v>
                </c:pt>
                <c:pt idx="20">
                  <c:v>10.729793940845411</c:v>
                </c:pt>
                <c:pt idx="21">
                  <c:v>11.143875245761592</c:v>
                </c:pt>
                <c:pt idx="22">
                  <c:v>11.747540258511435</c:v>
                </c:pt>
                <c:pt idx="23">
                  <c:v>12.576544815965462</c:v>
                </c:pt>
                <c:pt idx="24">
                  <c:v>13.625772965315264</c:v>
                </c:pt>
                <c:pt idx="25">
                  <c:v>14.824491734907497</c:v>
                </c:pt>
                <c:pt idx="26">
                  <c:v>16.043755009013694</c:v>
                </c:pt>
                <c:pt idx="27">
                  <c:v>17.145786933542695</c:v>
                </c:pt>
                <c:pt idx="28">
                  <c:v>18.040535067848396</c:v>
                </c:pt>
                <c:pt idx="29">
                  <c:v>18.705899156339001</c:v>
                </c:pt>
                <c:pt idx="30">
                  <c:v>19.169210402469616</c:v>
                </c:pt>
                <c:pt idx="31">
                  <c:v>19.477512511366513</c:v>
                </c:pt>
                <c:pt idx="32">
                  <c:v>19.67695818602806</c:v>
                </c:pt>
                <c:pt idx="33">
                  <c:v>19.804373894294258</c:v>
                </c:pt>
                <c:pt idx="34">
                  <c:v>19.886334486363921</c:v>
                </c:pt>
                <c:pt idx="35">
                  <c:v>19.94123642652994</c:v>
                </c:pt>
                <c:pt idx="36">
                  <c:v>19.981976119743194</c:v>
                </c:pt>
                <c:pt idx="37">
                  <c:v>20.018397706735414</c:v>
                </c:pt>
                <c:pt idx="38">
                  <c:v>20.059441142075229</c:v>
                </c:pt>
                <c:pt idx="39">
                  <c:v>20.115236625133548</c:v>
                </c:pt>
                <c:pt idx="40">
                  <c:v>20.199536230938975</c:v>
                </c:pt>
                <c:pt idx="41">
                  <c:v>20.332998641242739</c:v>
                </c:pt>
                <c:pt idx="42">
                  <c:v>20.548015915846918</c:v>
                </c:pt>
                <c:pt idx="43">
                  <c:v>20.896024066314567</c:v>
                </c:pt>
                <c:pt idx="44">
                  <c:v>21.458622148202267</c:v>
                </c:pt>
                <c:pt idx="45">
                  <c:v>22.364652594842482</c:v>
                </c:pt>
                <c:pt idx="46">
                  <c:v>23.818284484150354</c:v>
                </c:pt>
                <c:pt idx="47">
                  <c:v>26.154666273214389</c:v>
                </c:pt>
                <c:pt idx="48">
                  <c:v>29.98321672930615</c:v>
                </c:pt>
                <c:pt idx="49">
                  <c:v>36.643806887150276</c:v>
                </c:pt>
                <c:pt idx="50">
                  <c:v>49.999999998544808</c:v>
                </c:pt>
              </c:numCache>
            </c:numRef>
          </c:xVal>
          <c:yVal>
            <c:numRef>
              <c:f>Graphs!$S$11:$S$312</c:f>
              <c:numCache>
                <c:formatCode>General</c:formatCode>
                <c:ptCount val="302"/>
                <c:pt idx="0">
                  <c:v>1.8059327094815671</c:v>
                </c:pt>
                <c:pt idx="1">
                  <c:v>2.0204353218153117</c:v>
                </c:pt>
                <c:pt idx="2">
                  <c:v>2.2349379341490567</c:v>
                </c:pt>
                <c:pt idx="3">
                  <c:v>2.4494405464828013</c:v>
                </c:pt>
                <c:pt idx="4">
                  <c:v>2.6639431588165463</c:v>
                </c:pt>
                <c:pt idx="5">
                  <c:v>2.8784457711502909</c:v>
                </c:pt>
                <c:pt idx="6">
                  <c:v>3.0929483834840354</c:v>
                </c:pt>
                <c:pt idx="7">
                  <c:v>3.3074509958177805</c:v>
                </c:pt>
                <c:pt idx="8">
                  <c:v>3.5219536081515255</c:v>
                </c:pt>
                <c:pt idx="9">
                  <c:v>3.73645622048527</c:v>
                </c:pt>
                <c:pt idx="10">
                  <c:v>3.9509588328190146</c:v>
                </c:pt>
                <c:pt idx="11">
                  <c:v>4.1654614451527596</c:v>
                </c:pt>
                <c:pt idx="12">
                  <c:v>4.3799640574865037</c:v>
                </c:pt>
                <c:pt idx="13">
                  <c:v>4.5944666698202496</c:v>
                </c:pt>
                <c:pt idx="14">
                  <c:v>4.8089692821539938</c:v>
                </c:pt>
                <c:pt idx="15">
                  <c:v>5.0234718944877388</c:v>
                </c:pt>
                <c:pt idx="16">
                  <c:v>5.2379745068214838</c:v>
                </c:pt>
                <c:pt idx="17">
                  <c:v>5.4524771191552279</c:v>
                </c:pt>
                <c:pt idx="18">
                  <c:v>5.6669797314889729</c:v>
                </c:pt>
                <c:pt idx="19">
                  <c:v>5.881482343822718</c:v>
                </c:pt>
                <c:pt idx="20">
                  <c:v>6.0959849561564621</c:v>
                </c:pt>
                <c:pt idx="21">
                  <c:v>6.3104875684902071</c:v>
                </c:pt>
                <c:pt idx="22">
                  <c:v>6.5249901808239521</c:v>
                </c:pt>
                <c:pt idx="23">
                  <c:v>6.7394927931576971</c:v>
                </c:pt>
                <c:pt idx="24">
                  <c:v>6.9539954054914412</c:v>
                </c:pt>
                <c:pt idx="25">
                  <c:v>7.1684980178251863</c:v>
                </c:pt>
                <c:pt idx="26">
                  <c:v>7.3830006301589313</c:v>
                </c:pt>
                <c:pt idx="27">
                  <c:v>7.5975032424926754</c:v>
                </c:pt>
                <c:pt idx="28">
                  <c:v>7.8120058548264204</c:v>
                </c:pt>
                <c:pt idx="29">
                  <c:v>8.0265084671601663</c:v>
                </c:pt>
                <c:pt idx="30">
                  <c:v>8.2410110794939104</c:v>
                </c:pt>
                <c:pt idx="31">
                  <c:v>8.4555136918276546</c:v>
                </c:pt>
                <c:pt idx="32">
                  <c:v>8.6700163041614005</c:v>
                </c:pt>
                <c:pt idx="33">
                  <c:v>8.8845189164951446</c:v>
                </c:pt>
                <c:pt idx="34">
                  <c:v>9.0990215288288887</c:v>
                </c:pt>
                <c:pt idx="35">
                  <c:v>9.3135241411626346</c:v>
                </c:pt>
                <c:pt idx="36">
                  <c:v>9.5280267534963787</c:v>
                </c:pt>
                <c:pt idx="37">
                  <c:v>9.7425293658301229</c:v>
                </c:pt>
                <c:pt idx="38">
                  <c:v>9.9570319781638688</c:v>
                </c:pt>
                <c:pt idx="39">
                  <c:v>10.171534590497613</c:v>
                </c:pt>
                <c:pt idx="40">
                  <c:v>10.386037202831357</c:v>
                </c:pt>
                <c:pt idx="41">
                  <c:v>10.600539815165103</c:v>
                </c:pt>
                <c:pt idx="42">
                  <c:v>10.815042427498847</c:v>
                </c:pt>
                <c:pt idx="43">
                  <c:v>11.029545039832591</c:v>
                </c:pt>
                <c:pt idx="44">
                  <c:v>11.244047652166337</c:v>
                </c:pt>
                <c:pt idx="45">
                  <c:v>11.458550264500081</c:v>
                </c:pt>
                <c:pt idx="46">
                  <c:v>11.673052876833827</c:v>
                </c:pt>
                <c:pt idx="47">
                  <c:v>11.887555489167571</c:v>
                </c:pt>
                <c:pt idx="48">
                  <c:v>12.102058101501315</c:v>
                </c:pt>
                <c:pt idx="49">
                  <c:v>12.316560713835061</c:v>
                </c:pt>
                <c:pt idx="50">
                  <c:v>12.531063326168805</c:v>
                </c:pt>
              </c:numCache>
            </c:numRef>
          </c:yVal>
          <c:smooth val="1"/>
        </c:ser>
        <c:ser>
          <c:idx val="0"/>
          <c:order val="1"/>
          <c:tx>
            <c:v>Sim_Disp_0</c:v>
          </c:tx>
          <c:spPr>
            <a:ln w="25400">
              <a:solidFill>
                <a:srgbClr val="09007E"/>
              </a:solidFill>
              <a:prstDash val="solid"/>
            </a:ln>
          </c:spPr>
          <c:marker>
            <c:symbol val="diamond"/>
            <c:size val="4"/>
            <c:spPr>
              <a:solidFill>
                <a:srgbClr val="09007E"/>
              </a:solidFill>
              <a:ln>
                <a:solidFill>
                  <a:srgbClr val="09007E"/>
                </a:solidFill>
                <a:prstDash val="solid"/>
              </a:ln>
            </c:spPr>
          </c:marker>
          <c:xVal>
            <c:numRef>
              <c:f>Graphs!$V$11:$V$312</c:f>
              <c:numCache>
                <c:formatCode>General</c:formatCode>
                <c:ptCount val="302"/>
              </c:numCache>
            </c:numRef>
          </c:xVal>
          <c:yVal>
            <c:numRef>
              <c:f>Graphs!$W$11:$W$312</c:f>
              <c:numCache>
                <c:formatCode>General</c:formatCode>
                <c:ptCount val="302"/>
              </c:numCache>
            </c:numRef>
          </c:yVal>
          <c:smooth val="1"/>
        </c:ser>
        <c:ser>
          <c:idx val="2"/>
          <c:order val="2"/>
          <c:tx>
            <c:v>An_In_0</c:v>
          </c:tx>
          <c:spPr>
            <a:ln w="25400">
              <a:solidFill>
                <a:srgbClr val="339966"/>
              </a:solidFill>
              <a:prstDash val="solid"/>
            </a:ln>
          </c:spPr>
          <c:marker>
            <c:symbol val="triangle"/>
            <c:size val="5"/>
            <c:spPr>
              <a:solidFill>
                <a:srgbClr val="FFFF00"/>
              </a:solidFill>
              <a:ln>
                <a:solidFill>
                  <a:srgbClr val="339966"/>
                </a:solidFill>
                <a:prstDash val="solid"/>
              </a:ln>
            </c:spPr>
          </c:marker>
          <c:xVal>
            <c:numRef>
              <c:f>Graphs!$Z$11:$Z$312</c:f>
              <c:numCache>
                <c:formatCode>General</c:formatCode>
                <c:ptCount val="302"/>
                <c:pt idx="0">
                  <c:v>0</c:v>
                </c:pt>
                <c:pt idx="1">
                  <c:v>2.498869968985673</c:v>
                </c:pt>
                <c:pt idx="2">
                  <c:v>4.6176066432963125</c:v>
                </c:pt>
                <c:pt idx="3">
                  <c:v>6.2783207700704224</c:v>
                </c:pt>
                <c:pt idx="4">
                  <c:v>7.4992138441302814</c:v>
                </c:pt>
                <c:pt idx="5">
                  <c:v>8.3545435321866535</c:v>
                </c:pt>
                <c:pt idx="6">
                  <c:v>8.933838079974521</c:v>
                </c:pt>
                <c:pt idx="7">
                  <c:v>9.3177054906846024</c:v>
                </c:pt>
                <c:pt idx="8">
                  <c:v>9.5692240152857266</c:v>
                </c:pt>
                <c:pt idx="9">
                  <c:v>9.7341329892515205</c:v>
                </c:pt>
                <c:pt idx="10">
                  <c:v>9.8443795563071035</c:v>
                </c:pt>
                <c:pt idx="11">
                  <c:v>9.9221950062201358</c:v>
                </c:pt>
                <c:pt idx="12">
                  <c:v>9.9836717694415711</c:v>
                </c:pt>
                <c:pt idx="13">
                  <c:v>10.041700130386744</c:v>
                </c:pt>
                <c:pt idx="14">
                  <c:v>10.108475277957041</c:v>
                </c:pt>
                <c:pt idx="15">
                  <c:v>10.197893586882856</c:v>
                </c:pt>
                <c:pt idx="16">
                  <c:v>10.328164369275328</c:v>
                </c:pt>
                <c:pt idx="17">
                  <c:v>10.524891586101148</c:v>
                </c:pt>
                <c:pt idx="18">
                  <c:v>10.824641671206336</c:v>
                </c:pt>
                <c:pt idx="19">
                  <c:v>11.278386386402417</c:v>
                </c:pt>
                <c:pt idx="20">
                  <c:v>11.952848396322224</c:v>
                </c:pt>
                <c:pt idx="21">
                  <c:v>12.925509912020061</c:v>
                </c:pt>
                <c:pt idx="22">
                  <c:v>14.266958106600214</c:v>
                </c:pt>
                <c:pt idx="23">
                  <c:v>16.006536425265949</c:v>
                </c:pt>
                <c:pt idx="24">
                  <c:v>18.090350537386257</c:v>
                </c:pt>
                <c:pt idx="25">
                  <c:v>20.361693068116438</c:v>
                </c:pt>
                <c:pt idx="26">
                  <c:v>22.596293150854763</c:v>
                </c:pt>
                <c:pt idx="27">
                  <c:v>24.583749643352348</c:v>
                </c:pt>
                <c:pt idx="28">
                  <c:v>26.198946092335973</c:v>
                </c:pt>
                <c:pt idx="29">
                  <c:v>27.418202777334955</c:v>
                </c:pt>
                <c:pt idx="30">
                  <c:v>28.288458079623524</c:v>
                </c:pt>
                <c:pt idx="31">
                  <c:v>28.885414720571134</c:v>
                </c:pt>
                <c:pt idx="32">
                  <c:v>29.284366952197161</c:v>
                </c:pt>
                <c:pt idx="33">
                  <c:v>29.547248141898308</c:v>
                </c:pt>
                <c:pt idx="34">
                  <c:v>29.720264744537417</c:v>
                </c:pt>
                <c:pt idx="35">
                  <c:v>29.83625626511639</c:v>
                </c:pt>
                <c:pt idx="36">
                  <c:v>29.918337061826605</c:v>
                </c:pt>
                <c:pt idx="37">
                  <c:v>29.98338512115879</c:v>
                </c:pt>
                <c:pt idx="38">
                  <c:v>30.045040389813948</c:v>
                </c:pt>
                <c:pt idx="39">
                  <c:v>30.116360024840105</c:v>
                </c:pt>
                <c:pt idx="40">
                  <c:v>30.212474045401905</c:v>
                </c:pt>
                <c:pt idx="41">
                  <c:v>30.353687058959622</c:v>
                </c:pt>
                <c:pt idx="42">
                  <c:v>30.569570830266457</c:v>
                </c:pt>
                <c:pt idx="43">
                  <c:v>30.904717471275944</c:v>
                </c:pt>
                <c:pt idx="44">
                  <c:v>31.426960798853543</c:v>
                </c:pt>
                <c:pt idx="45">
                  <c:v>32.239001510606613</c:v>
                </c:pt>
                <c:pt idx="46">
                  <c:v>33.494635509850923</c:v>
                </c:pt>
                <c:pt idx="47">
                  <c:v>35.422255621233489</c:v>
                </c:pt>
                <c:pt idx="48">
                  <c:v>38.365417947352398</c:v>
                </c:pt>
                <c:pt idx="49">
                  <c:v>42.877503424824681</c:v>
                </c:pt>
                <c:pt idx="50">
                  <c:v>49.999999995634425</c:v>
                </c:pt>
              </c:numCache>
            </c:numRef>
          </c:xVal>
          <c:yVal>
            <c:numRef>
              <c:f>Graphs!$AA$11:$AA$312</c:f>
              <c:numCache>
                <c:formatCode>General</c:formatCode>
                <c:ptCount val="302"/>
                <c:pt idx="0">
                  <c:v>2.2653477877937256</c:v>
                </c:pt>
                <c:pt idx="1">
                  <c:v>2.3861369323544204</c:v>
                </c:pt>
                <c:pt idx="2">
                  <c:v>2.6641118475981056</c:v>
                </c:pt>
                <c:pt idx="3">
                  <c:v>2.7841898506693541</c:v>
                </c:pt>
                <c:pt idx="4">
                  <c:v>3.0585092287696898</c:v>
                </c:pt>
                <c:pt idx="5">
                  <c:v>3.3024845674820242</c:v>
                </c:pt>
                <c:pt idx="6">
                  <c:v>3.43747849104926</c:v>
                </c:pt>
                <c:pt idx="7">
                  <c:v>3.552244313005358</c:v>
                </c:pt>
                <c:pt idx="8">
                  <c:v>3.823462932128459</c:v>
                </c:pt>
                <c:pt idx="9">
                  <c:v>3.8905521011166275</c:v>
                </c:pt>
                <c:pt idx="10">
                  <c:v>4.3014524261839684</c:v>
                </c:pt>
                <c:pt idx="11">
                  <c:v>4.1180299079231917</c:v>
                </c:pt>
                <c:pt idx="12">
                  <c:v>4.4222375270910561</c:v>
                </c:pt>
                <c:pt idx="13">
                  <c:v>4.8408818402700122</c:v>
                </c:pt>
                <c:pt idx="14">
                  <c:v>5.18642603373155</c:v>
                </c:pt>
                <c:pt idx="15">
                  <c:v>5.1923094727657739</c:v>
                </c:pt>
                <c:pt idx="16">
                  <c:v>5.3796424258686599</c:v>
                </c:pt>
                <c:pt idx="17">
                  <c:v>5.5674684633873399</c:v>
                </c:pt>
                <c:pt idx="18">
                  <c:v>5.7681651949696242</c:v>
                </c:pt>
                <c:pt idx="19">
                  <c:v>6.0832747816853221</c:v>
                </c:pt>
                <c:pt idx="20">
                  <c:v>6.2216419441439212</c:v>
                </c:pt>
                <c:pt idx="21">
                  <c:v>6.4441657189466062</c:v>
                </c:pt>
                <c:pt idx="22">
                  <c:v>6.6170152428187432</c:v>
                </c:pt>
                <c:pt idx="23">
                  <c:v>6.8276927663199602</c:v>
                </c:pt>
                <c:pt idx="24">
                  <c:v>6.9951606211625039</c:v>
                </c:pt>
                <c:pt idx="25">
                  <c:v>7.2242915053851906</c:v>
                </c:pt>
                <c:pt idx="26">
                  <c:v>7.5369926953129474</c:v>
                </c:pt>
                <c:pt idx="27">
                  <c:v>7.6312835094146427</c:v>
                </c:pt>
                <c:pt idx="28">
                  <c:v>7.78317475317046</c:v>
                </c:pt>
                <c:pt idx="29">
                  <c:v>7.9825341033004227</c:v>
                </c:pt>
                <c:pt idx="30">
                  <c:v>8.2847767613641921</c:v>
                </c:pt>
                <c:pt idx="31">
                  <c:v>8.4060754944570366</c:v>
                </c:pt>
                <c:pt idx="32">
                  <c:v>8.6294696083106093</c:v>
                </c:pt>
                <c:pt idx="33">
                  <c:v>8.7976750612445169</c:v>
                </c:pt>
                <c:pt idx="34">
                  <c:v>9.0960117106325917</c:v>
                </c:pt>
                <c:pt idx="35">
                  <c:v>9.0847907523252065</c:v>
                </c:pt>
                <c:pt idx="36">
                  <c:v>9.400064428430051</c:v>
                </c:pt>
                <c:pt idx="37">
                  <c:v>9.4506547726504504</c:v>
                </c:pt>
                <c:pt idx="38">
                  <c:v>9.8117745951004327</c:v>
                </c:pt>
                <c:pt idx="39">
                  <c:v>10.284517781157046</c:v>
                </c:pt>
                <c:pt idx="40">
                  <c:v>10.294536398407072</c:v>
                </c:pt>
                <c:pt idx="41">
                  <c:v>10.521781745608896</c:v>
                </c:pt>
                <c:pt idx="42">
                  <c:v>10.627726228442043</c:v>
                </c:pt>
                <c:pt idx="43">
                  <c:v>10.915235111545771</c:v>
                </c:pt>
                <c:pt idx="44">
                  <c:v>11.084914463479072</c:v>
                </c:pt>
                <c:pt idx="45">
                  <c:v>11.226372458133847</c:v>
                </c:pt>
                <c:pt idx="46">
                  <c:v>11.385016548875718</c:v>
                </c:pt>
                <c:pt idx="47">
                  <c:v>11.676670697722583</c:v>
                </c:pt>
                <c:pt idx="48">
                  <c:v>11.805349126476795</c:v>
                </c:pt>
                <c:pt idx="49">
                  <c:v>12.00734264222905</c:v>
                </c:pt>
                <c:pt idx="50">
                  <c:v>12.223539364431053</c:v>
                </c:pt>
              </c:numCache>
            </c:numRef>
          </c:yVal>
          <c:smooth val="1"/>
        </c:ser>
        <c:ser>
          <c:idx val="3"/>
          <c:order val="3"/>
          <c:tx>
            <c:v>An_In_1</c:v>
          </c:tx>
          <c:spPr>
            <a:ln w="12700">
              <a:solidFill>
                <a:srgbClr val="008000"/>
              </a:solidFill>
              <a:prstDash val="solid"/>
            </a:ln>
          </c:spPr>
          <c:marker>
            <c:symbol val="x"/>
            <c:size val="5"/>
            <c:spPr>
              <a:noFill/>
              <a:ln>
                <a:solidFill>
                  <a:srgbClr val="008000"/>
                </a:solidFill>
                <a:prstDash val="solid"/>
              </a:ln>
            </c:spPr>
          </c:marker>
          <c:xVal>
            <c:numRef>
              <c:f>Graphs!$AB$11:$AB$312</c:f>
              <c:numCache>
                <c:formatCode>General</c:formatCode>
                <c:ptCount val="302"/>
              </c:numCache>
            </c:numRef>
          </c:xVal>
          <c:yVal>
            <c:numRef>
              <c:f>Graphs!$AC$11:$AC$312</c:f>
              <c:numCache>
                <c:formatCode>General</c:formatCode>
                <c:ptCount val="302"/>
              </c:numCache>
            </c:numRef>
          </c:yVal>
          <c:smooth val="1"/>
        </c:ser>
        <c:ser>
          <c:idx val="4"/>
          <c:order val="4"/>
          <c:tx>
            <c:v>Sim_Disp_1</c:v>
          </c:tx>
          <c:spPr>
            <a:ln w="12700">
              <a:solidFill>
                <a:srgbClr val="800080"/>
              </a:solidFill>
              <a:prstDash val="solid"/>
            </a:ln>
          </c:spPr>
          <c:marker>
            <c:symbol val="star"/>
            <c:size val="5"/>
            <c:spPr>
              <a:noFill/>
              <a:ln>
                <a:solidFill>
                  <a:srgbClr val="800080"/>
                </a:solidFill>
                <a:prstDash val="solid"/>
              </a:ln>
            </c:spPr>
          </c:marker>
          <c:xVal>
            <c:numRef>
              <c:f>Graphs!$X$11:$X$312</c:f>
              <c:numCache>
                <c:formatCode>General</c:formatCode>
                <c:ptCount val="302"/>
              </c:numCache>
            </c:numRef>
          </c:xVal>
          <c:yVal>
            <c:numRef>
              <c:f>Graphs!$Y$11:$Y$312</c:f>
              <c:numCache>
                <c:formatCode>General</c:formatCode>
                <c:ptCount val="302"/>
              </c:numCache>
            </c:numRef>
          </c:yVal>
          <c:smooth val="1"/>
        </c:ser>
        <c:ser>
          <c:idx val="5"/>
          <c:order val="5"/>
          <c:tx>
            <c:v>Sim_1</c:v>
          </c:tx>
          <c:spPr>
            <a:ln w="12700">
              <a:solidFill>
                <a:srgbClr val="FF0000"/>
              </a:solidFill>
              <a:prstDash val="solid"/>
            </a:ln>
          </c:spPr>
          <c:marker>
            <c:symbol val="circle"/>
            <c:size val="5"/>
            <c:spPr>
              <a:solidFill>
                <a:srgbClr val="F4EE00"/>
              </a:solidFill>
              <a:ln>
                <a:solidFill>
                  <a:srgbClr val="FF0000"/>
                </a:solidFill>
                <a:prstDash val="solid"/>
              </a:ln>
            </c:spPr>
          </c:marker>
          <c:xVal>
            <c:numRef>
              <c:f>Graphs!$T$11:$T$312</c:f>
              <c:numCache>
                <c:formatCode>General</c:formatCode>
                <c:ptCount val="302"/>
              </c:numCache>
            </c:numRef>
          </c:xVal>
          <c:yVal>
            <c:numRef>
              <c:f>Graphs!$U$11:$U$312</c:f>
              <c:numCache>
                <c:formatCode>General</c:formatCode>
                <c:ptCount val="302"/>
              </c:numCache>
            </c:numRef>
          </c:yVal>
          <c:smooth val="1"/>
        </c:ser>
        <c:ser>
          <c:idx val="6"/>
          <c:order val="6"/>
          <c:tx>
            <c:v>An_In_Al_0</c:v>
          </c:tx>
          <c:spPr>
            <a:ln w="12700">
              <a:solidFill>
                <a:srgbClr val="FF00FF"/>
              </a:solidFill>
              <a:prstDash val="solid"/>
            </a:ln>
          </c:spPr>
          <c:marker>
            <c:symbol val="plus"/>
            <c:size val="5"/>
            <c:spPr>
              <a:noFill/>
              <a:ln>
                <a:solidFill>
                  <a:srgbClr val="FF00FF"/>
                </a:solidFill>
                <a:prstDash val="solid"/>
              </a:ln>
            </c:spPr>
          </c:marker>
          <c:xVal>
            <c:numRef>
              <c:f>Graphs!$AD$11:$AD$312</c:f>
              <c:numCache>
                <c:formatCode>General</c:formatCode>
                <c:ptCount val="302"/>
              </c:numCache>
            </c:numRef>
          </c:xVal>
          <c:yVal>
            <c:numRef>
              <c:f>Graphs!$AE$11:$AE$312</c:f>
              <c:numCache>
                <c:formatCode>General</c:formatCode>
                <c:ptCount val="302"/>
              </c:numCache>
            </c:numRef>
          </c:yVal>
          <c:smooth val="1"/>
        </c:ser>
        <c:ser>
          <c:idx val="7"/>
          <c:order val="7"/>
          <c:tx>
            <c:v>An_In_Al_1</c:v>
          </c:tx>
          <c:spPr>
            <a:ln w="12700">
              <a:solidFill>
                <a:srgbClr val="FF6600"/>
              </a:solidFill>
              <a:prstDash val="solid"/>
            </a:ln>
          </c:spPr>
          <c:marker>
            <c:symbol val="dot"/>
            <c:size val="5"/>
            <c:spPr>
              <a:noFill/>
              <a:ln>
                <a:solidFill>
                  <a:srgbClr val="FF6600"/>
                </a:solidFill>
                <a:prstDash val="solid"/>
              </a:ln>
            </c:spPr>
          </c:marker>
          <c:xVal>
            <c:numRef>
              <c:f>Graphs!$AF$11:$AF$312</c:f>
              <c:numCache>
                <c:formatCode>General</c:formatCode>
                <c:ptCount val="302"/>
                <c:pt idx="1">
                  <c:v>8.3333333330908019E-2</c:v>
                </c:pt>
                <c:pt idx="2">
                  <c:v>0.24999999999272404</c:v>
                </c:pt>
                <c:pt idx="3">
                  <c:v>0.41666666665454011</c:v>
                </c:pt>
                <c:pt idx="4">
                  <c:v>0.58333333331635617</c:v>
                </c:pt>
                <c:pt idx="5">
                  <c:v>0.74999999997817213</c:v>
                </c:pt>
                <c:pt idx="6">
                  <c:v>0.91666666663998819</c:v>
                </c:pt>
                <c:pt idx="7">
                  <c:v>1.0833333333018043</c:v>
                </c:pt>
                <c:pt idx="8">
                  <c:v>1.2499999999636202</c:v>
                </c:pt>
                <c:pt idx="9">
                  <c:v>1.4166666666254364</c:v>
                </c:pt>
                <c:pt idx="10">
                  <c:v>1.5833333332872523</c:v>
                </c:pt>
                <c:pt idx="11">
                  <c:v>1.7499999999490683</c:v>
                </c:pt>
                <c:pt idx="12">
                  <c:v>1.9166666666108845</c:v>
                </c:pt>
                <c:pt idx="13">
                  <c:v>2.0833333332727006</c:v>
                </c:pt>
                <c:pt idx="14">
                  <c:v>2.2499999999345164</c:v>
                </c:pt>
                <c:pt idx="15">
                  <c:v>2.4166666665963326</c:v>
                </c:pt>
                <c:pt idx="16">
                  <c:v>2.5833333332581487</c:v>
                </c:pt>
                <c:pt idx="17">
                  <c:v>2.7499999999199645</c:v>
                </c:pt>
                <c:pt idx="18">
                  <c:v>2.9166666665817806</c:v>
                </c:pt>
                <c:pt idx="19">
                  <c:v>3.0833333332435968</c:v>
                </c:pt>
                <c:pt idx="20">
                  <c:v>3.2499999999054126</c:v>
                </c:pt>
                <c:pt idx="21">
                  <c:v>3.4166666665672287</c:v>
                </c:pt>
                <c:pt idx="22">
                  <c:v>3.5833333332290449</c:v>
                </c:pt>
                <c:pt idx="23">
                  <c:v>3.7499999998908606</c:v>
                </c:pt>
                <c:pt idx="24">
                  <c:v>3.9166666665526768</c:v>
                </c:pt>
                <c:pt idx="25">
                  <c:v>4.083333333214493</c:v>
                </c:pt>
                <c:pt idx="26">
                  <c:v>4.2499999998763087</c:v>
                </c:pt>
                <c:pt idx="27">
                  <c:v>4.4166666665381253</c:v>
                </c:pt>
                <c:pt idx="28">
                  <c:v>4.5833333331999411</c:v>
                </c:pt>
                <c:pt idx="29">
                  <c:v>4.7499999998617568</c:v>
                </c:pt>
                <c:pt idx="30">
                  <c:v>4.9166666665235734</c:v>
                </c:pt>
                <c:pt idx="31">
                  <c:v>5.0833333331853892</c:v>
                </c:pt>
                <c:pt idx="32">
                  <c:v>5.2499999998472049</c:v>
                </c:pt>
                <c:pt idx="33">
                  <c:v>5.4166666665090215</c:v>
                </c:pt>
                <c:pt idx="34">
                  <c:v>5.5833333331708372</c:v>
                </c:pt>
                <c:pt idx="35">
                  <c:v>5.749999999832653</c:v>
                </c:pt>
                <c:pt idx="36">
                  <c:v>5.9166666664944696</c:v>
                </c:pt>
                <c:pt idx="37">
                  <c:v>6.0833333331562853</c:v>
                </c:pt>
                <c:pt idx="38">
                  <c:v>6.2499999998181011</c:v>
                </c:pt>
                <c:pt idx="39">
                  <c:v>6.4166666664799177</c:v>
                </c:pt>
                <c:pt idx="40">
                  <c:v>6.5833333331417334</c:v>
                </c:pt>
                <c:pt idx="41">
                  <c:v>6.7499999998035491</c:v>
                </c:pt>
                <c:pt idx="42">
                  <c:v>6.9166666664653658</c:v>
                </c:pt>
                <c:pt idx="43">
                  <c:v>7.0833333331271815</c:v>
                </c:pt>
                <c:pt idx="44">
                  <c:v>7.2499999997889972</c:v>
                </c:pt>
                <c:pt idx="45">
                  <c:v>7.4166666664508138</c:v>
                </c:pt>
                <c:pt idx="46">
                  <c:v>7.5833333331126296</c:v>
                </c:pt>
                <c:pt idx="47">
                  <c:v>7.7499999997744453</c:v>
                </c:pt>
                <c:pt idx="48">
                  <c:v>7.9166666664362619</c:v>
                </c:pt>
                <c:pt idx="49">
                  <c:v>8.0833333330980786</c:v>
                </c:pt>
                <c:pt idx="50">
                  <c:v>8.2499999997598934</c:v>
                </c:pt>
                <c:pt idx="51">
                  <c:v>8.41666666642171</c:v>
                </c:pt>
                <c:pt idx="52">
                  <c:v>8.5833333330835266</c:v>
                </c:pt>
                <c:pt idx="53">
                  <c:v>8.7499999997453415</c:v>
                </c:pt>
                <c:pt idx="54">
                  <c:v>8.9166666664071581</c:v>
                </c:pt>
                <c:pt idx="55">
                  <c:v>9.0833333330689747</c:v>
                </c:pt>
                <c:pt idx="56">
                  <c:v>9.2499999997307896</c:v>
                </c:pt>
                <c:pt idx="57">
                  <c:v>9.4166666663926062</c:v>
                </c:pt>
                <c:pt idx="58">
                  <c:v>9.5833333330544228</c:v>
                </c:pt>
                <c:pt idx="59">
                  <c:v>9.7499999997162377</c:v>
                </c:pt>
                <c:pt idx="60">
                  <c:v>9.9166666663780543</c:v>
                </c:pt>
                <c:pt idx="61">
                  <c:v>10.083333333039871</c:v>
                </c:pt>
                <c:pt idx="62">
                  <c:v>10.249999999701686</c:v>
                </c:pt>
                <c:pt idx="63">
                  <c:v>10.416666666363502</c:v>
                </c:pt>
                <c:pt idx="64">
                  <c:v>10.583333333025319</c:v>
                </c:pt>
                <c:pt idx="65">
                  <c:v>10.749999999687134</c:v>
                </c:pt>
                <c:pt idx="66">
                  <c:v>10.91666666634895</c:v>
                </c:pt>
                <c:pt idx="67">
                  <c:v>11.083333333010767</c:v>
                </c:pt>
                <c:pt idx="68">
                  <c:v>11.249999999672582</c:v>
                </c:pt>
                <c:pt idx="69">
                  <c:v>11.416666666334399</c:v>
                </c:pt>
                <c:pt idx="70">
                  <c:v>11.583333332996215</c:v>
                </c:pt>
                <c:pt idx="71">
                  <c:v>11.74999999965803</c:v>
                </c:pt>
                <c:pt idx="72">
                  <c:v>11.916666666319847</c:v>
                </c:pt>
                <c:pt idx="73">
                  <c:v>12.083333332981663</c:v>
                </c:pt>
                <c:pt idx="74">
                  <c:v>12.249999999643478</c:v>
                </c:pt>
                <c:pt idx="75">
                  <c:v>12.416666666305295</c:v>
                </c:pt>
                <c:pt idx="76">
                  <c:v>12.583333332967111</c:v>
                </c:pt>
                <c:pt idx="77">
                  <c:v>12.749999999628926</c:v>
                </c:pt>
                <c:pt idx="78">
                  <c:v>12.916666666290743</c:v>
                </c:pt>
                <c:pt idx="79">
                  <c:v>13.083333332952559</c:v>
                </c:pt>
                <c:pt idx="80">
                  <c:v>13.249999999614374</c:v>
                </c:pt>
                <c:pt idx="81">
                  <c:v>13.416666666276191</c:v>
                </c:pt>
                <c:pt idx="82">
                  <c:v>13.583333332938007</c:v>
                </c:pt>
                <c:pt idx="83">
                  <c:v>13.749999999599822</c:v>
                </c:pt>
                <c:pt idx="84">
                  <c:v>13.916666666261639</c:v>
                </c:pt>
                <c:pt idx="85">
                  <c:v>14.083333332923456</c:v>
                </c:pt>
                <c:pt idx="86">
                  <c:v>14.24999999958527</c:v>
                </c:pt>
                <c:pt idx="87">
                  <c:v>14.416666666247087</c:v>
                </c:pt>
                <c:pt idx="88">
                  <c:v>14.583333332908904</c:v>
                </c:pt>
                <c:pt idx="89">
                  <c:v>14.749999999570719</c:v>
                </c:pt>
                <c:pt idx="90">
                  <c:v>14.916666666232535</c:v>
                </c:pt>
                <c:pt idx="91">
                  <c:v>15.083333332894352</c:v>
                </c:pt>
                <c:pt idx="92">
                  <c:v>15.249999999556167</c:v>
                </c:pt>
                <c:pt idx="93">
                  <c:v>15.416666666217983</c:v>
                </c:pt>
                <c:pt idx="94">
                  <c:v>15.5833333328798</c:v>
                </c:pt>
                <c:pt idx="95">
                  <c:v>15.749999999541615</c:v>
                </c:pt>
                <c:pt idx="96">
                  <c:v>15.916666666203431</c:v>
                </c:pt>
                <c:pt idx="97">
                  <c:v>16.083333332865248</c:v>
                </c:pt>
                <c:pt idx="98">
                  <c:v>16.249999999527063</c:v>
                </c:pt>
                <c:pt idx="99">
                  <c:v>16.416666666188881</c:v>
                </c:pt>
                <c:pt idx="100">
                  <c:v>16.583333332850696</c:v>
                </c:pt>
                <c:pt idx="101">
                  <c:v>16.749999999512511</c:v>
                </c:pt>
                <c:pt idx="102">
                  <c:v>16.916666666174329</c:v>
                </c:pt>
                <c:pt idx="103">
                  <c:v>17.083333332836144</c:v>
                </c:pt>
                <c:pt idx="104">
                  <c:v>17.249999999497959</c:v>
                </c:pt>
                <c:pt idx="105">
                  <c:v>17.416666666159777</c:v>
                </c:pt>
                <c:pt idx="106">
                  <c:v>17.583333332821592</c:v>
                </c:pt>
                <c:pt idx="107">
                  <c:v>17.749999999483407</c:v>
                </c:pt>
                <c:pt idx="108">
                  <c:v>17.916666666145225</c:v>
                </c:pt>
                <c:pt idx="109">
                  <c:v>18.08333333280704</c:v>
                </c:pt>
                <c:pt idx="110">
                  <c:v>18.249999999468855</c:v>
                </c:pt>
                <c:pt idx="111">
                  <c:v>18.416666666130673</c:v>
                </c:pt>
                <c:pt idx="112">
                  <c:v>18.583333332792488</c:v>
                </c:pt>
                <c:pt idx="113">
                  <c:v>18.749999999454303</c:v>
                </c:pt>
                <c:pt idx="114">
                  <c:v>18.916666666116122</c:v>
                </c:pt>
                <c:pt idx="115">
                  <c:v>19.083333332777936</c:v>
                </c:pt>
                <c:pt idx="116">
                  <c:v>19.249999999439751</c:v>
                </c:pt>
                <c:pt idx="117">
                  <c:v>19.41666666610157</c:v>
                </c:pt>
                <c:pt idx="118">
                  <c:v>19.583333332763385</c:v>
                </c:pt>
                <c:pt idx="119">
                  <c:v>19.749999999425199</c:v>
                </c:pt>
                <c:pt idx="120">
                  <c:v>19.916666666087018</c:v>
                </c:pt>
                <c:pt idx="121">
                  <c:v>20.083333332748833</c:v>
                </c:pt>
                <c:pt idx="122">
                  <c:v>20.249999999410647</c:v>
                </c:pt>
                <c:pt idx="123">
                  <c:v>20.416666666072466</c:v>
                </c:pt>
                <c:pt idx="124">
                  <c:v>20.583333332734281</c:v>
                </c:pt>
                <c:pt idx="125">
                  <c:v>20.749999999396096</c:v>
                </c:pt>
                <c:pt idx="126">
                  <c:v>20.916666666057914</c:v>
                </c:pt>
                <c:pt idx="127">
                  <c:v>21.083333332719729</c:v>
                </c:pt>
                <c:pt idx="128">
                  <c:v>21.249999999381544</c:v>
                </c:pt>
                <c:pt idx="129">
                  <c:v>21.416666666043362</c:v>
                </c:pt>
                <c:pt idx="130">
                  <c:v>21.583333332705177</c:v>
                </c:pt>
                <c:pt idx="131">
                  <c:v>21.749999999366992</c:v>
                </c:pt>
                <c:pt idx="132">
                  <c:v>21.91666666602881</c:v>
                </c:pt>
                <c:pt idx="133">
                  <c:v>22.083333332690625</c:v>
                </c:pt>
                <c:pt idx="134">
                  <c:v>22.24999999935244</c:v>
                </c:pt>
                <c:pt idx="135">
                  <c:v>22.416666666014258</c:v>
                </c:pt>
                <c:pt idx="136">
                  <c:v>22.583333332676073</c:v>
                </c:pt>
                <c:pt idx="137">
                  <c:v>22.749999999337888</c:v>
                </c:pt>
                <c:pt idx="138">
                  <c:v>22.916666665999706</c:v>
                </c:pt>
                <c:pt idx="139">
                  <c:v>23.083333332661521</c:v>
                </c:pt>
                <c:pt idx="140">
                  <c:v>23.249999999323336</c:v>
                </c:pt>
                <c:pt idx="141">
                  <c:v>23.416666665985154</c:v>
                </c:pt>
                <c:pt idx="142">
                  <c:v>23.583333332646969</c:v>
                </c:pt>
                <c:pt idx="143">
                  <c:v>23.749999999308784</c:v>
                </c:pt>
                <c:pt idx="144">
                  <c:v>23.916666665970602</c:v>
                </c:pt>
                <c:pt idx="145">
                  <c:v>24.083333332632417</c:v>
                </c:pt>
                <c:pt idx="146">
                  <c:v>24.249999999294232</c:v>
                </c:pt>
                <c:pt idx="147">
                  <c:v>24.416666665956051</c:v>
                </c:pt>
                <c:pt idx="148">
                  <c:v>24.583333332617865</c:v>
                </c:pt>
                <c:pt idx="149">
                  <c:v>24.74999999927968</c:v>
                </c:pt>
                <c:pt idx="150">
                  <c:v>24.916666665941499</c:v>
                </c:pt>
                <c:pt idx="151">
                  <c:v>25.083333332603313</c:v>
                </c:pt>
                <c:pt idx="152">
                  <c:v>25.249999999265128</c:v>
                </c:pt>
                <c:pt idx="153">
                  <c:v>25.416666665926947</c:v>
                </c:pt>
                <c:pt idx="154">
                  <c:v>25.583333332588762</c:v>
                </c:pt>
                <c:pt idx="155">
                  <c:v>25.749999999250576</c:v>
                </c:pt>
                <c:pt idx="156">
                  <c:v>25.916666665912395</c:v>
                </c:pt>
                <c:pt idx="157">
                  <c:v>26.08333333257421</c:v>
                </c:pt>
                <c:pt idx="158">
                  <c:v>26.249999999236024</c:v>
                </c:pt>
                <c:pt idx="159">
                  <c:v>26.416666665897843</c:v>
                </c:pt>
                <c:pt idx="160">
                  <c:v>26.583333332559658</c:v>
                </c:pt>
                <c:pt idx="161">
                  <c:v>26.749999999221473</c:v>
                </c:pt>
                <c:pt idx="162">
                  <c:v>26.916666665883291</c:v>
                </c:pt>
                <c:pt idx="163">
                  <c:v>27.083333332545106</c:v>
                </c:pt>
                <c:pt idx="164">
                  <c:v>27.249999999206921</c:v>
                </c:pt>
                <c:pt idx="165">
                  <c:v>27.416666665868739</c:v>
                </c:pt>
                <c:pt idx="166">
                  <c:v>27.583333332530554</c:v>
                </c:pt>
                <c:pt idx="167">
                  <c:v>27.749999999192369</c:v>
                </c:pt>
                <c:pt idx="168">
                  <c:v>27.916666665854187</c:v>
                </c:pt>
                <c:pt idx="169">
                  <c:v>28.083333332516002</c:v>
                </c:pt>
                <c:pt idx="170">
                  <c:v>28.249999999177817</c:v>
                </c:pt>
                <c:pt idx="171">
                  <c:v>28.416666665839635</c:v>
                </c:pt>
                <c:pt idx="172">
                  <c:v>28.58333333250145</c:v>
                </c:pt>
                <c:pt idx="173">
                  <c:v>28.749999999163265</c:v>
                </c:pt>
                <c:pt idx="174">
                  <c:v>28.916666665825083</c:v>
                </c:pt>
                <c:pt idx="175">
                  <c:v>29.083333332486898</c:v>
                </c:pt>
                <c:pt idx="176">
                  <c:v>29.249999999148713</c:v>
                </c:pt>
                <c:pt idx="177">
                  <c:v>29.416666665810531</c:v>
                </c:pt>
                <c:pt idx="178">
                  <c:v>29.583333332472346</c:v>
                </c:pt>
                <c:pt idx="179">
                  <c:v>29.749999999134161</c:v>
                </c:pt>
                <c:pt idx="180">
                  <c:v>29.916666665795979</c:v>
                </c:pt>
                <c:pt idx="181">
                  <c:v>30.083333332457794</c:v>
                </c:pt>
                <c:pt idx="182">
                  <c:v>30.249999999119609</c:v>
                </c:pt>
                <c:pt idx="183">
                  <c:v>30.416666665781428</c:v>
                </c:pt>
                <c:pt idx="184">
                  <c:v>30.583333332443242</c:v>
                </c:pt>
                <c:pt idx="185">
                  <c:v>30.749999999105057</c:v>
                </c:pt>
                <c:pt idx="186">
                  <c:v>30.916666665766876</c:v>
                </c:pt>
                <c:pt idx="187">
                  <c:v>31.08333333242869</c:v>
                </c:pt>
                <c:pt idx="188">
                  <c:v>31.249999999090505</c:v>
                </c:pt>
                <c:pt idx="189">
                  <c:v>31.416666665752324</c:v>
                </c:pt>
                <c:pt idx="190">
                  <c:v>31.583333332414139</c:v>
                </c:pt>
                <c:pt idx="191">
                  <c:v>31.749999999075953</c:v>
                </c:pt>
                <c:pt idx="192">
                  <c:v>31.916666665737772</c:v>
                </c:pt>
                <c:pt idx="193">
                  <c:v>32.08333333239959</c:v>
                </c:pt>
                <c:pt idx="194">
                  <c:v>32.249999999061401</c:v>
                </c:pt>
                <c:pt idx="195">
                  <c:v>32.41666666572322</c:v>
                </c:pt>
                <c:pt idx="196">
                  <c:v>32.583333332385038</c:v>
                </c:pt>
                <c:pt idx="197">
                  <c:v>32.74999999904685</c:v>
                </c:pt>
                <c:pt idx="198">
                  <c:v>32.916666665708668</c:v>
                </c:pt>
                <c:pt idx="199">
                  <c:v>33.083333332370486</c:v>
                </c:pt>
                <c:pt idx="200">
                  <c:v>33.249999999032298</c:v>
                </c:pt>
                <c:pt idx="201">
                  <c:v>33.416666665694116</c:v>
                </c:pt>
                <c:pt idx="202">
                  <c:v>33.583333332355934</c:v>
                </c:pt>
                <c:pt idx="203">
                  <c:v>33.749999999017746</c:v>
                </c:pt>
                <c:pt idx="204">
                  <c:v>33.916666665679564</c:v>
                </c:pt>
                <c:pt idx="205">
                  <c:v>34.083333332341383</c:v>
                </c:pt>
                <c:pt idx="206">
                  <c:v>34.249999999003194</c:v>
                </c:pt>
                <c:pt idx="207">
                  <c:v>34.416666665665012</c:v>
                </c:pt>
                <c:pt idx="208">
                  <c:v>34.583333332326831</c:v>
                </c:pt>
                <c:pt idx="209">
                  <c:v>34.749999998988642</c:v>
                </c:pt>
                <c:pt idx="210">
                  <c:v>34.91666666565046</c:v>
                </c:pt>
                <c:pt idx="211">
                  <c:v>35.083333332312279</c:v>
                </c:pt>
                <c:pt idx="212">
                  <c:v>35.24999999897409</c:v>
                </c:pt>
                <c:pt idx="213">
                  <c:v>35.416666665635908</c:v>
                </c:pt>
                <c:pt idx="214">
                  <c:v>35.583333332297727</c:v>
                </c:pt>
                <c:pt idx="215">
                  <c:v>35.749999998959538</c:v>
                </c:pt>
                <c:pt idx="216">
                  <c:v>35.916666665621356</c:v>
                </c:pt>
                <c:pt idx="217">
                  <c:v>36.083333332283175</c:v>
                </c:pt>
                <c:pt idx="218">
                  <c:v>36.249999998944986</c:v>
                </c:pt>
                <c:pt idx="219">
                  <c:v>36.416666665606805</c:v>
                </c:pt>
                <c:pt idx="220">
                  <c:v>36.583333332268623</c:v>
                </c:pt>
                <c:pt idx="221">
                  <c:v>36.749999998930434</c:v>
                </c:pt>
                <c:pt idx="222">
                  <c:v>36.916666665592253</c:v>
                </c:pt>
                <c:pt idx="223">
                  <c:v>37.083333332254071</c:v>
                </c:pt>
                <c:pt idx="224">
                  <c:v>37.249999998915882</c:v>
                </c:pt>
                <c:pt idx="225">
                  <c:v>37.416666665577701</c:v>
                </c:pt>
                <c:pt idx="226">
                  <c:v>37.583333332239519</c:v>
                </c:pt>
                <c:pt idx="227">
                  <c:v>37.74999999890133</c:v>
                </c:pt>
                <c:pt idx="228">
                  <c:v>37.916666665563149</c:v>
                </c:pt>
                <c:pt idx="229">
                  <c:v>38.083333332224967</c:v>
                </c:pt>
                <c:pt idx="230">
                  <c:v>38.249999998886778</c:v>
                </c:pt>
                <c:pt idx="231">
                  <c:v>38.416666665548597</c:v>
                </c:pt>
                <c:pt idx="232">
                  <c:v>38.583333332210415</c:v>
                </c:pt>
                <c:pt idx="233">
                  <c:v>38.749999998872227</c:v>
                </c:pt>
                <c:pt idx="234">
                  <c:v>38.916666665534045</c:v>
                </c:pt>
                <c:pt idx="235">
                  <c:v>39.083333332195863</c:v>
                </c:pt>
                <c:pt idx="236">
                  <c:v>39.249999998857675</c:v>
                </c:pt>
                <c:pt idx="237">
                  <c:v>39.416666665519493</c:v>
                </c:pt>
                <c:pt idx="238">
                  <c:v>39.583333332181311</c:v>
                </c:pt>
                <c:pt idx="239">
                  <c:v>39.749999998843123</c:v>
                </c:pt>
                <c:pt idx="240">
                  <c:v>39.916666665504941</c:v>
                </c:pt>
                <c:pt idx="241">
                  <c:v>40.08333333216676</c:v>
                </c:pt>
                <c:pt idx="242">
                  <c:v>40.249999998828571</c:v>
                </c:pt>
                <c:pt idx="243">
                  <c:v>40.416666665490389</c:v>
                </c:pt>
                <c:pt idx="244">
                  <c:v>40.583333332152208</c:v>
                </c:pt>
                <c:pt idx="245">
                  <c:v>40.749999998814019</c:v>
                </c:pt>
                <c:pt idx="246">
                  <c:v>40.916666665475837</c:v>
                </c:pt>
                <c:pt idx="247">
                  <c:v>41.083333332137656</c:v>
                </c:pt>
                <c:pt idx="248">
                  <c:v>41.249999998799467</c:v>
                </c:pt>
                <c:pt idx="249">
                  <c:v>41.416666665461285</c:v>
                </c:pt>
                <c:pt idx="250">
                  <c:v>41.583333332123104</c:v>
                </c:pt>
                <c:pt idx="251">
                  <c:v>41.749999998784915</c:v>
                </c:pt>
                <c:pt idx="252">
                  <c:v>41.916666665446733</c:v>
                </c:pt>
                <c:pt idx="253">
                  <c:v>42.083333332108552</c:v>
                </c:pt>
                <c:pt idx="254">
                  <c:v>42.249999998770363</c:v>
                </c:pt>
                <c:pt idx="255">
                  <c:v>42.416666665432182</c:v>
                </c:pt>
                <c:pt idx="256">
                  <c:v>42.583333332094</c:v>
                </c:pt>
                <c:pt idx="257">
                  <c:v>42.749999998755811</c:v>
                </c:pt>
                <c:pt idx="258">
                  <c:v>42.91666666541763</c:v>
                </c:pt>
                <c:pt idx="259">
                  <c:v>43.083333332079448</c:v>
                </c:pt>
                <c:pt idx="260">
                  <c:v>43.249999998741259</c:v>
                </c:pt>
                <c:pt idx="261">
                  <c:v>43.416666665403078</c:v>
                </c:pt>
                <c:pt idx="262">
                  <c:v>43.583333332064896</c:v>
                </c:pt>
                <c:pt idx="263">
                  <c:v>43.749999998726707</c:v>
                </c:pt>
                <c:pt idx="264">
                  <c:v>43.916666665388526</c:v>
                </c:pt>
                <c:pt idx="265">
                  <c:v>44.083333332050344</c:v>
                </c:pt>
                <c:pt idx="266">
                  <c:v>44.249999998712156</c:v>
                </c:pt>
                <c:pt idx="267">
                  <c:v>44.416666665373974</c:v>
                </c:pt>
                <c:pt idx="268">
                  <c:v>44.583333332035792</c:v>
                </c:pt>
                <c:pt idx="269">
                  <c:v>44.749999998697604</c:v>
                </c:pt>
                <c:pt idx="270">
                  <c:v>44.916666665359422</c:v>
                </c:pt>
                <c:pt idx="271">
                  <c:v>45.08333333202124</c:v>
                </c:pt>
                <c:pt idx="272">
                  <c:v>45.249999998683052</c:v>
                </c:pt>
                <c:pt idx="273">
                  <c:v>45.41666666534487</c:v>
                </c:pt>
                <c:pt idx="274">
                  <c:v>45.583333332006688</c:v>
                </c:pt>
                <c:pt idx="275">
                  <c:v>45.7499999986685</c:v>
                </c:pt>
                <c:pt idx="276">
                  <c:v>45.916666665330318</c:v>
                </c:pt>
                <c:pt idx="277">
                  <c:v>46.083333331992137</c:v>
                </c:pt>
                <c:pt idx="278">
                  <c:v>46.249999998653948</c:v>
                </c:pt>
                <c:pt idx="279">
                  <c:v>46.416666665315766</c:v>
                </c:pt>
                <c:pt idx="280">
                  <c:v>46.583333331977585</c:v>
                </c:pt>
                <c:pt idx="281">
                  <c:v>46.749999998639396</c:v>
                </c:pt>
                <c:pt idx="282">
                  <c:v>46.916666665301214</c:v>
                </c:pt>
                <c:pt idx="283">
                  <c:v>47.083333331963033</c:v>
                </c:pt>
                <c:pt idx="284">
                  <c:v>47.249999998624844</c:v>
                </c:pt>
                <c:pt idx="285">
                  <c:v>47.416666665286662</c:v>
                </c:pt>
                <c:pt idx="286">
                  <c:v>47.583333331948481</c:v>
                </c:pt>
                <c:pt idx="287">
                  <c:v>47.749999998610292</c:v>
                </c:pt>
                <c:pt idx="288">
                  <c:v>47.91666666527211</c:v>
                </c:pt>
                <c:pt idx="289">
                  <c:v>48.083333331933929</c:v>
                </c:pt>
                <c:pt idx="290">
                  <c:v>48.24999999859574</c:v>
                </c:pt>
                <c:pt idx="291">
                  <c:v>48.416666665257559</c:v>
                </c:pt>
                <c:pt idx="292">
                  <c:v>48.583333331919377</c:v>
                </c:pt>
                <c:pt idx="293">
                  <c:v>48.749999998581188</c:v>
                </c:pt>
                <c:pt idx="294">
                  <c:v>48.916666665243007</c:v>
                </c:pt>
                <c:pt idx="295">
                  <c:v>49.083333331904825</c:v>
                </c:pt>
                <c:pt idx="296">
                  <c:v>49.249999998566636</c:v>
                </c:pt>
                <c:pt idx="297">
                  <c:v>49.416666665228455</c:v>
                </c:pt>
                <c:pt idx="298">
                  <c:v>49.583333331890273</c:v>
                </c:pt>
                <c:pt idx="299">
                  <c:v>49.749999998552084</c:v>
                </c:pt>
                <c:pt idx="300">
                  <c:v>49.916666665213903</c:v>
                </c:pt>
              </c:numCache>
            </c:numRef>
          </c:xVal>
          <c:yVal>
            <c:numRef>
              <c:f>Graphs!$AG$11:$AG$312</c:f>
              <c:numCache>
                <c:formatCode>General</c:formatCode>
                <c:ptCount val="302"/>
                <c:pt idx="1">
                  <c:v>4.4451495312456034E-2</c:v>
                </c:pt>
                <c:pt idx="2">
                  <c:v>4.4830058399049293E-2</c:v>
                </c:pt>
                <c:pt idx="3">
                  <c:v>4.558718457223581E-2</c:v>
                </c:pt>
                <c:pt idx="4">
                  <c:v>4.6722873832015566E-2</c:v>
                </c:pt>
                <c:pt idx="5">
                  <c:v>4.8237126178385936E-2</c:v>
                </c:pt>
                <c:pt idx="6">
                  <c:v>5.0129941611354915E-2</c:v>
                </c:pt>
                <c:pt idx="7">
                  <c:v>5.2401320130909063E-2</c:v>
                </c:pt>
                <c:pt idx="8">
                  <c:v>5.5051261737064601E-2</c:v>
                </c:pt>
                <c:pt idx="9">
                  <c:v>5.8079766429808E-2</c:v>
                </c:pt>
                <c:pt idx="10">
                  <c:v>6.1486834209144574E-2</c:v>
                </c:pt>
                <c:pt idx="11">
                  <c:v>6.5272465075077224E-2</c:v>
                </c:pt>
                <c:pt idx="12">
                  <c:v>6.9436659027600392E-2</c:v>
                </c:pt>
                <c:pt idx="13">
                  <c:v>7.3979218696258078E-2</c:v>
                </c:pt>
                <c:pt idx="14">
                  <c:v>7.8784297888935956E-2</c:v>
                </c:pt>
                <c:pt idx="15">
                  <c:v>8.3541216689287837E-2</c:v>
                </c:pt>
                <c:pt idx="16">
                  <c:v>8.8198436746620423E-2</c:v>
                </c:pt>
                <c:pt idx="17">
                  <c:v>9.2755958060937019E-2</c:v>
                </c:pt>
                <c:pt idx="18">
                  <c:v>9.7213780632235028E-2</c:v>
                </c:pt>
                <c:pt idx="19">
                  <c:v>0.10157190446052163</c:v>
                </c:pt>
                <c:pt idx="20">
                  <c:v>0.10583032954578697</c:v>
                </c:pt>
                <c:pt idx="21">
                  <c:v>0.10998905588803906</c:v>
                </c:pt>
                <c:pt idx="22">
                  <c:v>0.1140480834872717</c:v>
                </c:pt>
                <c:pt idx="23">
                  <c:v>0.11800741234348844</c:v>
                </c:pt>
                <c:pt idx="24">
                  <c:v>0.12186704245668929</c:v>
                </c:pt>
                <c:pt idx="25">
                  <c:v>0.12532425958367199</c:v>
                </c:pt>
                <c:pt idx="26">
                  <c:v>0.12705421023799485</c:v>
                </c:pt>
                <c:pt idx="27">
                  <c:v>0.12669454903197488</c:v>
                </c:pt>
                <c:pt idx="28">
                  <c:v>0.12424526703283757</c:v>
                </c:pt>
                <c:pt idx="29">
                  <c:v>0.11970636424058759</c:v>
                </c:pt>
                <c:pt idx="30">
                  <c:v>0.11307784065521759</c:v>
                </c:pt>
                <c:pt idx="31">
                  <c:v>0.10435969627673301</c:v>
                </c:pt>
                <c:pt idx="32">
                  <c:v>9.3551931105135558E-2</c:v>
                </c:pt>
                <c:pt idx="33">
                  <c:v>8.0654545140418185E-2</c:v>
                </c:pt>
                <c:pt idx="34">
                  <c:v>6.6383180814825402E-2</c:v>
                </c:pt>
                <c:pt idx="35">
                  <c:v>5.6489011594033432E-2</c:v>
                </c:pt>
                <c:pt idx="36">
                  <c:v>5.3742364051365801E-2</c:v>
                </c:pt>
                <c:pt idx="37">
                  <c:v>5.8161007983630407E-2</c:v>
                </c:pt>
                <c:pt idx="38">
                  <c:v>6.9744943390825528E-2</c:v>
                </c:pt>
                <c:pt idx="39">
                  <c:v>8.8494170272958209E-2</c:v>
                </c:pt>
                <c:pt idx="40">
                  <c:v>0.11440868863002017</c:v>
                </c:pt>
                <c:pt idx="41">
                  <c:v>0.14713901459802403</c:v>
                </c:pt>
                <c:pt idx="42">
                  <c:v>0.17961607063282339</c:v>
                </c:pt>
                <c:pt idx="43">
                  <c:v>0.20527058548266508</c:v>
                </c:pt>
                <c:pt idx="44">
                  <c:v>0.22385320506104614</c:v>
                </c:pt>
                <c:pt idx="45">
                  <c:v>0.23536392936796602</c:v>
                </c:pt>
                <c:pt idx="46">
                  <c:v>0.23980276563769901</c:v>
                </c:pt>
                <c:pt idx="47">
                  <c:v>0.23872972225780059</c:v>
                </c:pt>
                <c:pt idx="48">
                  <c:v>0.23807540927711532</c:v>
                </c:pt>
                <c:pt idx="49">
                  <c:v>0.23924892280178311</c:v>
                </c:pt>
                <c:pt idx="50">
                  <c:v>0.24225026283179582</c:v>
                </c:pt>
                <c:pt idx="51">
                  <c:v>0.25085949384274658</c:v>
                </c:pt>
                <c:pt idx="52">
                  <c:v>0.28335115751715606</c:v>
                </c:pt>
                <c:pt idx="53">
                  <c:v>0.34524034906209472</c:v>
                </c:pt>
                <c:pt idx="54">
                  <c:v>0.43696208669566772</c:v>
                </c:pt>
                <c:pt idx="55">
                  <c:v>0.56038589002170758</c:v>
                </c:pt>
                <c:pt idx="56">
                  <c:v>0.72114643316214411</c:v>
                </c:pt>
                <c:pt idx="57">
                  <c:v>0.95100934137571635</c:v>
                </c:pt>
                <c:pt idx="58">
                  <c:v>1.246424131828946</c:v>
                </c:pt>
                <c:pt idx="59">
                  <c:v>1.5486455334315925</c:v>
                </c:pt>
                <c:pt idx="60">
                  <c:v>1.7506346122620176</c:v>
                </c:pt>
                <c:pt idx="61">
                  <c:v>1.7955246252311583</c:v>
                </c:pt>
                <c:pt idx="62">
                  <c:v>1.5677472600540125</c:v>
                </c:pt>
                <c:pt idx="63">
                  <c:v>1.2468609408569309</c:v>
                </c:pt>
                <c:pt idx="64">
                  <c:v>0.96163330719145446</c:v>
                </c:pt>
                <c:pt idx="65">
                  <c:v>0.73380207711438517</c:v>
                </c:pt>
                <c:pt idx="66">
                  <c:v>0.5688760016763541</c:v>
                </c:pt>
                <c:pt idx="67">
                  <c:v>0.45234779564608441</c:v>
                </c:pt>
                <c:pt idx="68">
                  <c:v>0.36657029796213286</c:v>
                </c:pt>
                <c:pt idx="69">
                  <c:v>0.30764493734459586</c:v>
                </c:pt>
                <c:pt idx="70">
                  <c:v>0.26469870406539947</c:v>
                </c:pt>
                <c:pt idx="71">
                  <c:v>0.23519865422747449</c:v>
                </c:pt>
                <c:pt idx="72">
                  <c:v>0.21850378544868904</c:v>
                </c:pt>
                <c:pt idx="73">
                  <c:v>0.20668796647832893</c:v>
                </c:pt>
                <c:pt idx="74">
                  <c:v>0.19440285741483035</c:v>
                </c:pt>
                <c:pt idx="75">
                  <c:v>0.1815481554740796</c:v>
                </c:pt>
                <c:pt idx="76">
                  <c:v>0.16812387943285359</c:v>
                </c:pt>
                <c:pt idx="77">
                  <c:v>0.15474979141080089</c:v>
                </c:pt>
                <c:pt idx="78">
                  <c:v>0.14367708060222309</c:v>
                </c:pt>
                <c:pt idx="79">
                  <c:v>0.1354167282608614</c:v>
                </c:pt>
                <c:pt idx="80">
                  <c:v>0.12996873438673642</c:v>
                </c:pt>
                <c:pt idx="81">
                  <c:v>0.12733309897982134</c:v>
                </c:pt>
                <c:pt idx="82">
                  <c:v>0.12750982204013869</c:v>
                </c:pt>
                <c:pt idx="83">
                  <c:v>0.13020676322881472</c:v>
                </c:pt>
                <c:pt idx="84">
                  <c:v>0.1337616681884361</c:v>
                </c:pt>
                <c:pt idx="85">
                  <c:v>0.13758743689451861</c:v>
                </c:pt>
                <c:pt idx="86">
                  <c:v>0.14168339847092259</c:v>
                </c:pt>
                <c:pt idx="87">
                  <c:v>0.14604955291764279</c:v>
                </c:pt>
                <c:pt idx="88">
                  <c:v>0.15068590023467993</c:v>
                </c:pt>
                <c:pt idx="89">
                  <c:v>0.15559244042203332</c:v>
                </c:pt>
                <c:pt idx="90">
                  <c:v>0.16076917263222634</c:v>
                </c:pt>
                <c:pt idx="91">
                  <c:v>0.16569479518276148</c:v>
                </c:pt>
                <c:pt idx="92">
                  <c:v>0.16835720707264562</c:v>
                </c:pt>
                <c:pt idx="93">
                  <c:v>0.16827102310207676</c:v>
                </c:pt>
                <c:pt idx="94">
                  <c:v>0.1654362432710442</c:v>
                </c:pt>
                <c:pt idx="95">
                  <c:v>0.15985286757955333</c:v>
                </c:pt>
                <c:pt idx="96">
                  <c:v>0.15152089602760932</c:v>
                </c:pt>
                <c:pt idx="97">
                  <c:v>0.14044032861518979</c:v>
                </c:pt>
                <c:pt idx="98">
                  <c:v>0.1266111653423268</c:v>
                </c:pt>
                <c:pt idx="99">
                  <c:v>0.11003340620899534</c:v>
                </c:pt>
                <c:pt idx="100">
                  <c:v>9.0796104659417898E-2</c:v>
                </c:pt>
                <c:pt idx="101">
                  <c:v>7.1528407365751098E-2</c:v>
                </c:pt>
                <c:pt idx="102">
                  <c:v>5.5229495168737056E-2</c:v>
                </c:pt>
                <c:pt idx="103">
                  <c:v>4.2062830849575086E-2</c:v>
                </c:pt>
                <c:pt idx="104">
                  <c:v>3.2028414408278541E-2</c:v>
                </c:pt>
                <c:pt idx="105">
                  <c:v>2.512624584484472E-2</c:v>
                </c:pt>
                <c:pt idx="106">
                  <c:v>2.135632515926341E-2</c:v>
                </c:pt>
                <c:pt idx="107">
                  <c:v>2.0718652351551969E-2</c:v>
                </c:pt>
                <c:pt idx="108">
                  <c:v>2.3213227421693038E-2</c:v>
                </c:pt>
                <c:pt idx="109">
                  <c:v>2.8840050369707777E-2</c:v>
                </c:pt>
                <c:pt idx="110">
                  <c:v>3.7599121195571385E-2</c:v>
                </c:pt>
                <c:pt idx="111">
                  <c:v>4.9363321138800424E-2</c:v>
                </c:pt>
                <c:pt idx="112">
                  <c:v>6.1882419953165145E-2</c:v>
                </c:pt>
                <c:pt idx="113">
                  <c:v>7.3226838171029554E-2</c:v>
                </c:pt>
                <c:pt idx="114">
                  <c:v>8.3334062666384198E-2</c:v>
                </c:pt>
                <c:pt idx="115">
                  <c:v>9.2204093439239077E-2</c:v>
                </c:pt>
                <c:pt idx="116">
                  <c:v>9.9836930489589415E-2</c:v>
                </c:pt>
                <c:pt idx="117">
                  <c:v>0.10623257381743467</c:v>
                </c:pt>
                <c:pt idx="118">
                  <c:v>0.11139102342277976</c:v>
                </c:pt>
                <c:pt idx="119">
                  <c:v>0.11531227930562646</c:v>
                </c:pt>
                <c:pt idx="120">
                  <c:v>0.11799634146595701</c:v>
                </c:pt>
                <c:pt idx="121">
                  <c:v>0.11944320990379786</c:v>
                </c:pt>
                <c:pt idx="122">
                  <c:v>0.1196528849520424</c:v>
                </c:pt>
                <c:pt idx="123">
                  <c:v>0.11864559597040157</c:v>
                </c:pt>
                <c:pt idx="124">
                  <c:v>0.1164961709960468</c:v>
                </c:pt>
                <c:pt idx="125">
                  <c:v>0.11322190765716919</c:v>
                </c:pt>
                <c:pt idx="126">
                  <c:v>0.10882280595373997</c:v>
                </c:pt>
                <c:pt idx="127">
                  <c:v>0.1032988658857914</c:v>
                </c:pt>
                <c:pt idx="128">
                  <c:v>9.6650087453303432E-2</c:v>
                </c:pt>
                <c:pt idx="129">
                  <c:v>8.887647065628014E-2</c:v>
                </c:pt>
                <c:pt idx="130">
                  <c:v>7.9978015494721999E-2</c:v>
                </c:pt>
                <c:pt idx="131">
                  <c:v>6.9954721968634143E-2</c:v>
                </c:pt>
                <c:pt idx="132">
                  <c:v>5.88065900780061E-2</c:v>
                </c:pt>
                <c:pt idx="133">
                  <c:v>4.6533619822849266E-2</c:v>
                </c:pt>
                <c:pt idx="134">
                  <c:v>3.3453987741167243E-2</c:v>
                </c:pt>
                <c:pt idx="135">
                  <c:v>2.2849231532220765E-2</c:v>
                </c:pt>
                <c:pt idx="136">
                  <c:v>1.6653829754266387E-2</c:v>
                </c:pt>
                <c:pt idx="137">
                  <c:v>1.4892729001722782E-2</c:v>
                </c:pt>
                <c:pt idx="138">
                  <c:v>1.7565929274594209E-2</c:v>
                </c:pt>
                <c:pt idx="139">
                  <c:v>2.46734305728805E-2</c:v>
                </c:pt>
                <c:pt idx="140">
                  <c:v>3.6215232896583231E-2</c:v>
                </c:pt>
                <c:pt idx="141">
                  <c:v>5.2191336245700826E-2</c:v>
                </c:pt>
                <c:pt idx="142">
                  <c:v>7.2601740620226937E-2</c:v>
                </c:pt>
                <c:pt idx="143">
                  <c:v>9.7446446020171523E-2</c:v>
                </c:pt>
                <c:pt idx="144">
                  <c:v>0.12664223454759488</c:v>
                </c:pt>
                <c:pt idx="145">
                  <c:v>0.15579723800793013</c:v>
                </c:pt>
                <c:pt idx="146">
                  <c:v>0.17842893593850401</c:v>
                </c:pt>
                <c:pt idx="147">
                  <c:v>0.19401600699589056</c:v>
                </c:pt>
                <c:pt idx="148">
                  <c:v>0.20255845118011012</c:v>
                </c:pt>
                <c:pt idx="149">
                  <c:v>0.20405626849114902</c:v>
                </c:pt>
                <c:pt idx="150">
                  <c:v>0.19850945892901559</c:v>
                </c:pt>
                <c:pt idx="151">
                  <c:v>0.1859180224937102</c:v>
                </c:pt>
                <c:pt idx="152">
                  <c:v>0.16628195918522876</c:v>
                </c:pt>
                <c:pt idx="153">
                  <c:v>0.13990139193444354</c:v>
                </c:pt>
                <c:pt idx="154">
                  <c:v>0.11418113081584172</c:v>
                </c:pt>
                <c:pt idx="155">
                  <c:v>9.6816091294765316E-2</c:v>
                </c:pt>
                <c:pt idx="156">
                  <c:v>8.8164444243533133E-2</c:v>
                </c:pt>
                <c:pt idx="157">
                  <c:v>8.8226189662140422E-2</c:v>
                </c:pt>
                <c:pt idx="158">
                  <c:v>9.7001327550587491E-2</c:v>
                </c:pt>
                <c:pt idx="159">
                  <c:v>0.11448985790887402</c:v>
                </c:pt>
                <c:pt idx="160">
                  <c:v>0.14062539494400084</c:v>
                </c:pt>
                <c:pt idx="161">
                  <c:v>0.16976529835537077</c:v>
                </c:pt>
                <c:pt idx="162">
                  <c:v>0.19204624610164212</c:v>
                </c:pt>
                <c:pt idx="163">
                  <c:v>0.20647427355922726</c:v>
                </c:pt>
                <c:pt idx="164">
                  <c:v>0.21304938072812343</c:v>
                </c:pt>
                <c:pt idx="165">
                  <c:v>0.21177156760834406</c:v>
                </c:pt>
                <c:pt idx="166">
                  <c:v>0.2032768718520914</c:v>
                </c:pt>
                <c:pt idx="167">
                  <c:v>0.19426201815691357</c:v>
                </c:pt>
                <c:pt idx="168">
                  <c:v>0.18873791502729637</c:v>
                </c:pt>
                <c:pt idx="169">
                  <c:v>0.18675878477281735</c:v>
                </c:pt>
                <c:pt idx="170">
                  <c:v>0.18891800039503967</c:v>
                </c:pt>
                <c:pt idx="171">
                  <c:v>0.20971006461999539</c:v>
                </c:pt>
                <c:pt idx="172">
                  <c:v>0.26411621571044847</c:v>
                </c:pt>
                <c:pt idx="173">
                  <c:v>0.35275028446525858</c:v>
                </c:pt>
                <c:pt idx="174">
                  <c:v>0.47261297084973675</c:v>
                </c:pt>
                <c:pt idx="175">
                  <c:v>0.61982659356890624</c:v>
                </c:pt>
                <c:pt idx="176">
                  <c:v>0.80163864442966437</c:v>
                </c:pt>
                <c:pt idx="177">
                  <c:v>1.0365116051287664</c:v>
                </c:pt>
                <c:pt idx="178">
                  <c:v>1.3296797414457175</c:v>
                </c:pt>
                <c:pt idx="179">
                  <c:v>1.6215544954413907</c:v>
                </c:pt>
                <c:pt idx="180">
                  <c:v>1.8288097667719159</c:v>
                </c:pt>
                <c:pt idx="181">
                  <c:v>1.8445268238974855</c:v>
                </c:pt>
                <c:pt idx="182">
                  <c:v>1.6197147970926158</c:v>
                </c:pt>
                <c:pt idx="183">
                  <c:v>1.2914343388834553</c:v>
                </c:pt>
                <c:pt idx="184">
                  <c:v>0.98121690586699095</c:v>
                </c:pt>
                <c:pt idx="185">
                  <c:v>0.71052571874389892</c:v>
                </c:pt>
                <c:pt idx="186">
                  <c:v>0.49848959977411633</c:v>
                </c:pt>
                <c:pt idx="187">
                  <c:v>0.38645127890799197</c:v>
                </c:pt>
                <c:pt idx="188">
                  <c:v>0.34386216188162638</c:v>
                </c:pt>
                <c:pt idx="189">
                  <c:v>0.30360564289503511</c:v>
                </c:pt>
                <c:pt idx="190">
                  <c:v>0.25791636225447623</c:v>
                </c:pt>
                <c:pt idx="191">
                  <c:v>0.2114833024836425</c:v>
                </c:pt>
                <c:pt idx="192">
                  <c:v>0.17250068758477777</c:v>
                </c:pt>
                <c:pt idx="193">
                  <c:v>0.14179400984328441</c:v>
                </c:pt>
                <c:pt idx="194">
                  <c:v>0.11936185638369898</c:v>
                </c:pt>
                <c:pt idx="195">
                  <c:v>0.10421414606559251</c:v>
                </c:pt>
                <c:pt idx="196">
                  <c:v>9.3628140021396536E-2</c:v>
                </c:pt>
                <c:pt idx="197">
                  <c:v>8.7139876718216769E-2</c:v>
                </c:pt>
                <c:pt idx="198">
                  <c:v>8.4749356156052419E-2</c:v>
                </c:pt>
                <c:pt idx="199">
                  <c:v>8.6456578334913936E-2</c:v>
                </c:pt>
                <c:pt idx="200">
                  <c:v>9.2237907993276885E-2</c:v>
                </c:pt>
                <c:pt idx="201">
                  <c:v>0.10072533132779764</c:v>
                </c:pt>
                <c:pt idx="202">
                  <c:v>0.10982674451530365</c:v>
                </c:pt>
                <c:pt idx="203">
                  <c:v>0.11936545109721793</c:v>
                </c:pt>
                <c:pt idx="204">
                  <c:v>0.12934145107350972</c:v>
                </c:pt>
                <c:pt idx="205">
                  <c:v>0.13975474444422642</c:v>
                </c:pt>
                <c:pt idx="206">
                  <c:v>0.15060533120932063</c:v>
                </c:pt>
                <c:pt idx="207">
                  <c:v>0.16189321136881504</c:v>
                </c:pt>
                <c:pt idx="208">
                  <c:v>0.17356904269832249</c:v>
                </c:pt>
                <c:pt idx="209">
                  <c:v>0.18397634257876447</c:v>
                </c:pt>
                <c:pt idx="210">
                  <c:v>0.1911035071081672</c:v>
                </c:pt>
                <c:pt idx="211">
                  <c:v>0.19482932876361497</c:v>
                </c:pt>
                <c:pt idx="212">
                  <c:v>0.19515380754506823</c:v>
                </c:pt>
                <c:pt idx="213">
                  <c:v>0.19207694345259096</c:v>
                </c:pt>
                <c:pt idx="214">
                  <c:v>0.18559873648612665</c:v>
                </c:pt>
                <c:pt idx="215">
                  <c:v>0.1757191866457212</c:v>
                </c:pt>
                <c:pt idx="216">
                  <c:v>0.16243829393133066</c:v>
                </c:pt>
                <c:pt idx="217">
                  <c:v>0.1457560583429876</c:v>
                </c:pt>
                <c:pt idx="218">
                  <c:v>0.12567247988068078</c:v>
                </c:pt>
                <c:pt idx="219">
                  <c:v>0.1027897393993018</c:v>
                </c:pt>
                <c:pt idx="220">
                  <c:v>8.0946730594582281E-2</c:v>
                </c:pt>
                <c:pt idx="221">
                  <c:v>6.1650843917024634E-2</c:v>
                </c:pt>
                <c:pt idx="222">
                  <c:v>4.4905652171100124E-2</c:v>
                </c:pt>
                <c:pt idx="223">
                  <c:v>3.0711155356813659E-2</c:v>
                </c:pt>
                <c:pt idx="224">
                  <c:v>1.9067353474139008E-2</c:v>
                </c:pt>
                <c:pt idx="225">
                  <c:v>9.9742465231066613E-3</c:v>
                </c:pt>
                <c:pt idx="226">
                  <c:v>3.4318345036940196E-3</c:v>
                </c:pt>
                <c:pt idx="227">
                  <c:v>-5.5988258408697902E-4</c:v>
                </c:pt>
                <c:pt idx="228">
                  <c:v>-2.0009047402368462E-3</c:v>
                </c:pt>
                <c:pt idx="229">
                  <c:v>-8.9123196475532536E-4</c:v>
                </c:pt>
                <c:pt idx="230">
                  <c:v>2.7691357423573269E-3</c:v>
                </c:pt>
                <c:pt idx="231">
                  <c:v>8.9801983810802628E-3</c:v>
                </c:pt>
                <c:pt idx="232">
                  <c:v>1.7741842462855113E-2</c:v>
                </c:pt>
                <c:pt idx="233">
                  <c:v>2.8356837067644795E-2</c:v>
                </c:pt>
                <c:pt idx="234">
                  <c:v>3.847842439040336E-2</c:v>
                </c:pt>
                <c:pt idx="235">
                  <c:v>4.761339102953549E-2</c:v>
                </c:pt>
                <c:pt idx="236">
                  <c:v>5.5761736985035441E-2</c:v>
                </c:pt>
                <c:pt idx="237">
                  <c:v>6.2923462256904275E-2</c:v>
                </c:pt>
                <c:pt idx="238">
                  <c:v>6.9098566845133921E-2</c:v>
                </c:pt>
                <c:pt idx="239">
                  <c:v>7.4287050749743108E-2</c:v>
                </c:pt>
                <c:pt idx="240">
                  <c:v>7.848891397072183E-2</c:v>
                </c:pt>
                <c:pt idx="241">
                  <c:v>8.170415650804938E-2</c:v>
                </c:pt>
                <c:pt idx="242">
                  <c:v>8.3932778361767796E-2</c:v>
                </c:pt>
                <c:pt idx="243">
                  <c:v>8.5174779531845365E-2</c:v>
                </c:pt>
                <c:pt idx="244">
                  <c:v>8.5430160018281867E-2</c:v>
                </c:pt>
                <c:pt idx="245">
                  <c:v>8.4698919821098839E-2</c:v>
                </c:pt>
                <c:pt idx="246">
                  <c:v>8.298105894028554E-2</c:v>
                </c:pt>
                <c:pt idx="247">
                  <c:v>8.0276577375820696E-2</c:v>
                </c:pt>
                <c:pt idx="248">
                  <c:v>7.6585475127746896E-2</c:v>
                </c:pt>
                <c:pt idx="249">
                  <c:v>7.1907752196031696E-2</c:v>
                </c:pt>
                <c:pt idx="250">
                  <c:v>6.6270345324606059E-2</c:v>
                </c:pt>
                <c:pt idx="251">
                  <c:v>6.0315800190866985E-2</c:v>
                </c:pt>
                <c:pt idx="252">
                  <c:v>5.4699706434634753E-2</c:v>
                </c:pt>
                <c:pt idx="253">
                  <c:v>4.9451609922659082E-2</c:v>
                </c:pt>
                <c:pt idx="254">
                  <c:v>4.4571510654904327E-2</c:v>
                </c:pt>
                <c:pt idx="255">
                  <c:v>4.0059408631401845E-2</c:v>
                </c:pt>
                <c:pt idx="256">
                  <c:v>3.5915303852135858E-2</c:v>
                </c:pt>
                <c:pt idx="257">
                  <c:v>3.2139196317100827E-2</c:v>
                </c:pt>
                <c:pt idx="258">
                  <c:v>2.8731086026328238E-2</c:v>
                </c:pt>
                <c:pt idx="259">
                  <c:v>2.5690972979771791E-2</c:v>
                </c:pt>
                <c:pt idx="260">
                  <c:v>2.3018857177456477E-2</c:v>
                </c:pt>
                <c:pt idx="261">
                  <c:v>2.0714738619403268E-2</c:v>
                </c:pt>
                <c:pt idx="262">
                  <c:v>1.8778617305566882E-2</c:v>
                </c:pt>
                <c:pt idx="263">
                  <c:v>1.7210493235971284E-2</c:v>
                </c:pt>
                <c:pt idx="264">
                  <c:v>1.6010366410626933E-2</c:v>
                </c:pt>
                <c:pt idx="265">
                  <c:v>1.5178236829521123E-2</c:v>
                </c:pt>
                <c:pt idx="266">
                  <c:v>1.4714104492645244E-2</c:v>
                </c:pt>
                <c:pt idx="267">
                  <c:v>1.4617969400020553E-2</c:v>
                </c:pt>
                <c:pt idx="268">
                  <c:v>1.4889831551623864E-2</c:v>
                </c:pt>
                <c:pt idx="269">
                  <c:v>1.5529690947467704E-2</c:v>
                </c:pt>
                <c:pt idx="270">
                  <c:v>1.6537547587562811E-2</c:v>
                </c:pt>
                <c:pt idx="271">
                  <c:v>1.7913401471896417E-2</c:v>
                </c:pt>
                <c:pt idx="272">
                  <c:v>1.9654218593131847E-2</c:v>
                </c:pt>
                <c:pt idx="273">
                  <c:v>2.1593964282637296E-2</c:v>
                </c:pt>
                <c:pt idx="274">
                  <c:v>2.3484089048332237E-2</c:v>
                </c:pt>
                <c:pt idx="275">
                  <c:v>2.5304209193088633E-2</c:v>
                </c:pt>
                <c:pt idx="276">
                  <c:v>2.7054324716896068E-2</c:v>
                </c:pt>
                <c:pt idx="277">
                  <c:v>2.8734435619729756E-2</c:v>
                </c:pt>
                <c:pt idx="278">
                  <c:v>3.0344541901635796E-2</c:v>
                </c:pt>
                <c:pt idx="279">
                  <c:v>3.1884643562571757E-2</c:v>
                </c:pt>
                <c:pt idx="280">
                  <c:v>3.3354740602565547E-2</c:v>
                </c:pt>
                <c:pt idx="281">
                  <c:v>3.4754833021599908E-2</c:v>
                </c:pt>
                <c:pt idx="282">
                  <c:v>3.6084920819685694E-2</c:v>
                </c:pt>
                <c:pt idx="283">
                  <c:v>3.734500399682894E-2</c:v>
                </c:pt>
                <c:pt idx="284">
                  <c:v>3.8535082553002288E-2</c:v>
                </c:pt>
                <c:pt idx="285">
                  <c:v>3.9655156488237864E-2</c:v>
                </c:pt>
                <c:pt idx="286">
                  <c:v>4.0705225802519944E-2</c:v>
                </c:pt>
                <c:pt idx="287">
                  <c:v>4.1685290495853587E-2</c:v>
                </c:pt>
                <c:pt idx="288">
                  <c:v>4.2595350568217616E-2</c:v>
                </c:pt>
                <c:pt idx="289">
                  <c:v>4.3435406019638551E-2</c:v>
                </c:pt>
                <c:pt idx="290">
                  <c:v>4.4205456850121845E-2</c:v>
                </c:pt>
                <c:pt idx="291">
                  <c:v>4.4905503059635608E-2</c:v>
                </c:pt>
                <c:pt idx="292">
                  <c:v>4.5535544648195432E-2</c:v>
                </c:pt>
                <c:pt idx="293">
                  <c:v>4.6095581615817699E-2</c:v>
                </c:pt>
                <c:pt idx="294">
                  <c:v>4.6585613962481183E-2</c:v>
                </c:pt>
                <c:pt idx="295">
                  <c:v>4.7005641688201233E-2</c:v>
                </c:pt>
                <c:pt idx="296">
                  <c:v>4.7355664792951828E-2</c:v>
                </c:pt>
                <c:pt idx="297">
                  <c:v>4.763568327675434E-2</c:v>
                </c:pt>
                <c:pt idx="298">
                  <c:v>4.7845697139623979E-2</c:v>
                </c:pt>
                <c:pt idx="299">
                  <c:v>4.798570638151356E-2</c:v>
                </c:pt>
                <c:pt idx="300">
                  <c:v>4.8055711002476388E-2</c:v>
                </c:pt>
              </c:numCache>
            </c:numRef>
          </c:yVal>
          <c:smooth val="1"/>
        </c:ser>
        <c:ser>
          <c:idx val="8"/>
          <c:order val="8"/>
          <c:tx>
            <c:v>An_0</c:v>
          </c:tx>
          <c:spPr>
            <a:ln w="25400">
              <a:solidFill>
                <a:srgbClr val="993300"/>
              </a:solidFill>
              <a:prstDash val="solid"/>
            </a:ln>
          </c:spPr>
          <c:marker>
            <c:symbol val="triangle"/>
            <c:size val="5"/>
            <c:spPr>
              <a:solidFill>
                <a:srgbClr val="F4EE00"/>
              </a:solidFill>
              <a:ln>
                <a:solidFill>
                  <a:srgbClr val="993300"/>
                </a:solidFill>
                <a:prstDash val="solid"/>
              </a:ln>
            </c:spPr>
          </c:marker>
          <c:xVal>
            <c:numRef>
              <c:f>Graphs!$AH$11:$AH$134</c:f>
              <c:numCache>
                <c:formatCode>General</c:formatCode>
                <c:ptCount val="124"/>
                <c:pt idx="0">
                  <c:v>0</c:v>
                </c:pt>
                <c:pt idx="1">
                  <c:v>0.89688894076971337</c:v>
                </c:pt>
                <c:pt idx="2">
                  <c:v>1.8641394926817156</c:v>
                </c:pt>
                <c:pt idx="3">
                  <c:v>2.9605798234115355</c:v>
                </c:pt>
                <c:pt idx="4">
                  <c:v>4.1980953348684125</c:v>
                </c:pt>
                <c:pt idx="5">
                  <c:v>5.5483564428868704</c:v>
                </c:pt>
                <c:pt idx="6">
                  <c:v>6.9703873581602238</c:v>
                </c:pt>
                <c:pt idx="7">
                  <c:v>8.4402233464061283</c:v>
                </c:pt>
                <c:pt idx="8">
                  <c:v>9.9575227286550216</c:v>
                </c:pt>
                <c:pt idx="9">
                  <c:v>11.527829080296215</c:v>
                </c:pt>
                <c:pt idx="10">
                  <c:v>13.142040256934706</c:v>
                </c:pt>
                <c:pt idx="11">
                  <c:v>14.768722133885603</c:v>
                </c:pt>
                <c:pt idx="12">
                  <c:v>16.356732237909455</c:v>
                </c:pt>
                <c:pt idx="13">
                  <c:v>17.844781892199535</c:v>
                </c:pt>
                <c:pt idx="14">
                  <c:v>19.181782512168866</c:v>
                </c:pt>
                <c:pt idx="15">
                  <c:v>20.351667587237898</c:v>
                </c:pt>
                <c:pt idx="16">
                  <c:v>21.384160743036773</c:v>
                </c:pt>
                <c:pt idx="17">
                  <c:v>22.342685637704562</c:v>
                </c:pt>
                <c:pt idx="18">
                  <c:v>23.297000558522996</c:v>
                </c:pt>
                <c:pt idx="19">
                  <c:v>24.292349834286142</c:v>
                </c:pt>
                <c:pt idx="20">
                  <c:v>25.326453409797978</c:v>
                </c:pt>
                <c:pt idx="21">
                  <c:v>26.347641290340107</c:v>
                </c:pt>
                <c:pt idx="22">
                  <c:v>27.280329070345033</c:v>
                </c:pt>
                <c:pt idx="23">
                  <c:v>28.062663164746482</c:v>
                </c:pt>
                <c:pt idx="24">
                  <c:v>28.669746332161594</c:v>
                </c:pt>
                <c:pt idx="25">
                  <c:v>29.111924824246671</c:v>
                </c:pt>
                <c:pt idx="26">
                  <c:v>29.419084104301874</c:v>
                </c:pt>
                <c:pt idx="27">
                  <c:v>29.625479625246953</c:v>
                </c:pt>
                <c:pt idx="28">
                  <c:v>29.761181406502146</c:v>
                </c:pt>
                <c:pt idx="29">
                  <c:v>29.849311058933381</c:v>
                </c:pt>
                <c:pt idx="30">
                  <c:v>29.90638507908443</c:v>
                </c:pt>
                <c:pt idx="31">
                  <c:v>29.94375132402638</c:v>
                </c:pt>
                <c:pt idx="32">
                  <c:v>29.969121598696802</c:v>
                </c:pt>
                <c:pt idx="33">
                  <c:v>29.987858388631139</c:v>
                </c:pt>
                <c:pt idx="34">
                  <c:v>30.003981960180681</c:v>
                </c:pt>
                <c:pt idx="35">
                  <c:v>30.020979327673558</c:v>
                </c:pt>
                <c:pt idx="36">
                  <c:v>30.042530830542091</c:v>
                </c:pt>
                <c:pt idx="37">
                  <c:v>30.073280991928186</c:v>
                </c:pt>
                <c:pt idx="38">
                  <c:v>30.119792056211736</c:v>
                </c:pt>
                <c:pt idx="39">
                  <c:v>30.191834959259722</c:v>
                </c:pt>
                <c:pt idx="40">
                  <c:v>30.304181580140721</c:v>
                </c:pt>
                <c:pt idx="41">
                  <c:v>30.479027204273734</c:v>
                </c:pt>
                <c:pt idx="42">
                  <c:v>30.749027973797638</c:v>
                </c:pt>
                <c:pt idx="43">
                  <c:v>31.160632845421787</c:v>
                </c:pt>
                <c:pt idx="44">
                  <c:v>31.777109763061162</c:v>
                </c:pt>
                <c:pt idx="45">
                  <c:v>32.681422297901008</c:v>
                </c:pt>
                <c:pt idx="46">
                  <c:v>33.983392054506112</c:v>
                </c:pt>
                <c:pt idx="47">
                  <c:v>35.846407026110683</c:v>
                </c:pt>
                <c:pt idx="48">
                  <c:v>38.567444209184032</c:v>
                </c:pt>
                <c:pt idx="49">
                  <c:v>42.780707859492395</c:v>
                </c:pt>
                <c:pt idx="50">
                  <c:v>49.999999983992893</c:v>
                </c:pt>
              </c:numCache>
            </c:numRef>
          </c:xVal>
          <c:yVal>
            <c:numRef>
              <c:f>Graphs!$AI$11:$AI$134</c:f>
              <c:numCache>
                <c:formatCode>General</c:formatCode>
                <c:ptCount val="124"/>
                <c:pt idx="0">
                  <c:v>2.2808282657451926</c:v>
                </c:pt>
                <c:pt idx="1">
                  <c:v>2.4714166043065489</c:v>
                </c:pt>
                <c:pt idx="2">
                  <c:v>2.662466105993837</c:v>
                </c:pt>
                <c:pt idx="3">
                  <c:v>2.8605852687023581</c:v>
                </c:pt>
                <c:pt idx="4">
                  <c:v>3.0949879734255372</c:v>
                </c:pt>
                <c:pt idx="5">
                  <c:v>3.2735308732353152</c:v>
                </c:pt>
                <c:pt idx="6">
                  <c:v>3.4831263395957648</c:v>
                </c:pt>
                <c:pt idx="7">
                  <c:v>3.6744159386791289</c:v>
                </c:pt>
                <c:pt idx="8">
                  <c:v>3.8778446124009789</c:v>
                </c:pt>
                <c:pt idx="9">
                  <c:v>4.0878315094076099</c:v>
                </c:pt>
                <c:pt idx="10">
                  <c:v>4.2595044983066614</c:v>
                </c:pt>
                <c:pt idx="11">
                  <c:v>4.4838214059062302</c:v>
                </c:pt>
                <c:pt idx="12">
                  <c:v>4.6824077536202964</c:v>
                </c:pt>
                <c:pt idx="13">
                  <c:v>4.8893591124005615</c:v>
                </c:pt>
                <c:pt idx="14">
                  <c:v>5.0960081052444872</c:v>
                </c:pt>
                <c:pt idx="15">
                  <c:v>5.295324570912868</c:v>
                </c:pt>
                <c:pt idx="16">
                  <c:v>5.5011578789688649</c:v>
                </c:pt>
                <c:pt idx="17">
                  <c:v>5.6875888803489509</c:v>
                </c:pt>
                <c:pt idx="18">
                  <c:v>5.8781362815611065</c:v>
                </c:pt>
                <c:pt idx="19">
                  <c:v>6.0934056529216472</c:v>
                </c:pt>
                <c:pt idx="20">
                  <c:v>6.3068681297414004</c:v>
                </c:pt>
                <c:pt idx="21">
                  <c:v>6.4901526380963626</c:v>
                </c:pt>
                <c:pt idx="22">
                  <c:v>6.6984786649681629</c:v>
                </c:pt>
                <c:pt idx="23">
                  <c:v>6.8921215216629204</c:v>
                </c:pt>
                <c:pt idx="24">
                  <c:v>7.0865812115333977</c:v>
                </c:pt>
                <c:pt idx="25">
                  <c:v>7.3027161829434339</c:v>
                </c:pt>
                <c:pt idx="26">
                  <c:v>7.5183351617865268</c:v>
                </c:pt>
                <c:pt idx="27">
                  <c:v>7.7038716139905157</c:v>
                </c:pt>
                <c:pt idx="28">
                  <c:v>7.9083233626820144</c:v>
                </c:pt>
                <c:pt idx="29">
                  <c:v>8.1149909251295025</c:v>
                </c:pt>
                <c:pt idx="30">
                  <c:v>8.2506355920545751</c:v>
                </c:pt>
                <c:pt idx="31">
                  <c:v>8.5722924061678345</c:v>
                </c:pt>
                <c:pt idx="32">
                  <c:v>8.6735323605053125</c:v>
                </c:pt>
                <c:pt idx="33">
                  <c:v>8.949234131556004</c:v>
                </c:pt>
                <c:pt idx="34">
                  <c:v>9.1845845668949195</c:v>
                </c:pt>
                <c:pt idx="35">
                  <c:v>9.2019186423607167</c:v>
                </c:pt>
                <c:pt idx="36">
                  <c:v>9.5545939252935348</c:v>
                </c:pt>
                <c:pt idx="37">
                  <c:v>9.7397145399264993</c:v>
                </c:pt>
                <c:pt idx="38">
                  <c:v>9.921328281220049</c:v>
                </c:pt>
                <c:pt idx="39">
                  <c:v>10.118093901764601</c:v>
                </c:pt>
                <c:pt idx="40">
                  <c:v>10.340274881910533</c:v>
                </c:pt>
                <c:pt idx="41">
                  <c:v>10.526514122683555</c:v>
                </c:pt>
                <c:pt idx="42">
                  <c:v>10.716714065384119</c:v>
                </c:pt>
                <c:pt idx="43">
                  <c:v>10.92176637821272</c:v>
                </c:pt>
                <c:pt idx="44">
                  <c:v>11.123641830880194</c:v>
                </c:pt>
                <c:pt idx="45">
                  <c:v>11.335130838844925</c:v>
                </c:pt>
                <c:pt idx="46">
                  <c:v>11.515661543425173</c:v>
                </c:pt>
                <c:pt idx="47">
                  <c:v>11.742123357553035</c:v>
                </c:pt>
                <c:pt idx="48">
                  <c:v>11.919127186704428</c:v>
                </c:pt>
                <c:pt idx="49">
                  <c:v>12.134579030226917</c:v>
                </c:pt>
                <c:pt idx="50">
                  <c:v>12.329984020184726</c:v>
                </c:pt>
              </c:numCache>
            </c:numRef>
          </c:yVal>
          <c:smooth val="1"/>
        </c:ser>
        <c:ser>
          <c:idx val="9"/>
          <c:order val="9"/>
          <c:tx>
            <c:v>An_1</c:v>
          </c:tx>
          <c:spPr>
            <a:ln w="12700">
              <a:solidFill>
                <a:srgbClr val="993300"/>
              </a:solidFill>
              <a:prstDash val="solid"/>
            </a:ln>
          </c:spPr>
          <c:marker>
            <c:symbol val="diamond"/>
            <c:size val="6"/>
            <c:spPr>
              <a:solidFill>
                <a:srgbClr val="F4EE00"/>
              </a:solidFill>
              <a:ln>
                <a:solidFill>
                  <a:srgbClr val="993300"/>
                </a:solidFill>
                <a:prstDash val="solid"/>
              </a:ln>
            </c:spPr>
          </c:marker>
          <c:xVal>
            <c:numRef>
              <c:f>Graphs!$AJ$11:$AJ$134</c:f>
              <c:numCache>
                <c:formatCode>General</c:formatCode>
                <c:ptCount val="124"/>
              </c:numCache>
            </c:numRef>
          </c:xVal>
          <c:yVal>
            <c:numRef>
              <c:f>Graphs!$AK$11:$AK$134</c:f>
              <c:numCache>
                <c:formatCode>General</c:formatCode>
                <c:ptCount val="124"/>
              </c:numCache>
            </c:numRef>
          </c:yVal>
          <c:smooth val="1"/>
        </c:ser>
        <c:ser>
          <c:idx val="10"/>
          <c:order val="10"/>
          <c:tx>
            <c:v>An_Aj_0</c:v>
          </c:tx>
          <c:spPr>
            <a:ln w="25400">
              <a:solidFill>
                <a:srgbClr val="003366"/>
              </a:solidFill>
              <a:prstDash val="solid"/>
            </a:ln>
          </c:spPr>
          <c:marker>
            <c:symbol val="square"/>
            <c:size val="5"/>
            <c:spPr>
              <a:solidFill>
                <a:srgbClr val="CCFFCC"/>
              </a:solidFill>
              <a:ln>
                <a:solidFill>
                  <a:srgbClr val="993300"/>
                </a:solidFill>
                <a:prstDash val="solid"/>
              </a:ln>
            </c:spPr>
          </c:marker>
          <c:xVal>
            <c:numRef>
              <c:f>Graphs!$AL$11:$AL$134</c:f>
              <c:numCache>
                <c:formatCode>General</c:formatCode>
                <c:ptCount val="124"/>
              </c:numCache>
            </c:numRef>
          </c:xVal>
          <c:yVal>
            <c:numRef>
              <c:f>Graphs!$AM$11:$AM$134</c:f>
              <c:numCache>
                <c:formatCode>General</c:formatCode>
                <c:ptCount val="124"/>
              </c:numCache>
            </c:numRef>
          </c:yVal>
          <c:smooth val="1"/>
        </c:ser>
        <c:ser>
          <c:idx val="11"/>
          <c:order val="11"/>
          <c:tx>
            <c:v>An_Aj_1</c:v>
          </c:tx>
          <c:spPr>
            <a:ln w="12700">
              <a:solidFill>
                <a:srgbClr val="993300"/>
              </a:solidFill>
              <a:prstDash val="solid"/>
            </a:ln>
          </c:spPr>
          <c:marker>
            <c:symbol val="triangle"/>
            <c:size val="5"/>
            <c:spPr>
              <a:solidFill>
                <a:srgbClr val="FFFF99"/>
              </a:solidFill>
              <a:ln>
                <a:solidFill>
                  <a:srgbClr val="993300"/>
                </a:solidFill>
                <a:prstDash val="solid"/>
              </a:ln>
            </c:spPr>
          </c:marker>
          <c:xVal>
            <c:numRef>
              <c:f>Graphs!$AN$11:$AN$134</c:f>
              <c:numCache>
                <c:formatCode>General</c:formatCode>
                <c:ptCount val="124"/>
              </c:numCache>
            </c:numRef>
          </c:xVal>
          <c:yVal>
            <c:numRef>
              <c:f>Graphs!$AO$11:$AO$134</c:f>
              <c:numCache>
                <c:formatCode>General</c:formatCode>
                <c:ptCount val="124"/>
              </c:numCache>
            </c:numRef>
          </c:yVal>
          <c:smooth val="1"/>
        </c:ser>
        <c:axId val="279192704"/>
        <c:axId val="279195008"/>
      </c:scatterChart>
      <c:valAx>
        <c:axId val="279192704"/>
        <c:scaling>
          <c:orientation val="minMax"/>
          <c:max val="60"/>
        </c:scaling>
        <c:axPos val="b"/>
        <c:majorGridlines/>
        <c:title>
          <c:tx>
            <c:rich>
              <a:bodyPr/>
              <a:lstStyle/>
              <a:p>
                <a:pPr>
                  <a:defRPr sz="1400" b="1" i="0" u="none" strike="noStrike" baseline="0">
                    <a:solidFill>
                      <a:srgbClr val="000000"/>
                    </a:solidFill>
                    <a:latin typeface="Arial"/>
                    <a:ea typeface="Arial"/>
                    <a:cs typeface="Arial"/>
                  </a:defRPr>
                </a:pPr>
                <a:r>
                  <a:rPr lang="pt-BR"/>
                  <a:t>Titrant Volume (mL)</a:t>
                </a:r>
              </a:p>
            </c:rich>
          </c:tx>
          <c:layout>
            <c:manualLayout>
              <c:xMode val="edge"/>
              <c:yMode val="edge"/>
              <c:x val="0.40473121227351405"/>
              <c:y val="0.94804356352007746"/>
            </c:manualLayout>
          </c:layout>
          <c:spPr>
            <a:noFill/>
            <a:ln w="25400">
              <a:noFill/>
            </a:ln>
          </c:spPr>
        </c:title>
        <c:numFmt formatCode="0.0" sourceLinked="0"/>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279195008"/>
        <c:crosses val="autoZero"/>
        <c:crossBetween val="midCat"/>
      </c:valAx>
      <c:valAx>
        <c:axId val="279195008"/>
        <c:scaling>
          <c:orientation val="minMax"/>
        </c:scaling>
        <c:axPos val="l"/>
        <c:majorGridlines>
          <c:spPr>
            <a:ln w="3175">
              <a:solidFill>
                <a:srgbClr val="000000"/>
              </a:solidFill>
              <a:prstDash val="solid"/>
            </a:ln>
          </c:spPr>
        </c:majorGridlines>
        <c:title>
          <c:tx>
            <c:rich>
              <a:bodyPr/>
              <a:lstStyle/>
              <a:p>
                <a:pPr>
                  <a:defRPr sz="1625" b="1" i="0" u="none" strike="noStrike" baseline="0">
                    <a:solidFill>
                      <a:srgbClr val="000000"/>
                    </a:solidFill>
                    <a:latin typeface="Arial"/>
                    <a:ea typeface="Arial"/>
                    <a:cs typeface="Arial"/>
                  </a:defRPr>
                </a:pPr>
                <a:r>
                  <a:rPr lang="pt-BR"/>
                  <a:t>pH</a:t>
                </a:r>
              </a:p>
            </c:rich>
          </c:tx>
          <c:layout>
            <c:manualLayout>
              <c:xMode val="edge"/>
              <c:yMode val="edge"/>
              <c:x val="4.9951009508724387E-3"/>
              <c:y val="0.40754035055962834"/>
            </c:manualLayout>
          </c:layout>
          <c:spPr>
            <a:noFill/>
            <a:ln w="25400">
              <a:noFill/>
            </a:ln>
          </c:spPr>
        </c:title>
        <c:numFmt formatCode="General" sourceLinked="1"/>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27919270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62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0.xml"/><Relationship Id="rId13" Type="http://schemas.openxmlformats.org/officeDocument/2006/relationships/image" Target="../media/image4.png"/><Relationship Id="rId3" Type="http://schemas.openxmlformats.org/officeDocument/2006/relationships/chart" Target="../charts/chart5.xml"/><Relationship Id="rId7" Type="http://schemas.openxmlformats.org/officeDocument/2006/relationships/chart" Target="../charts/chart9.xml"/><Relationship Id="rId12" Type="http://schemas.openxmlformats.org/officeDocument/2006/relationships/chart" Target="../charts/chart14.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11" Type="http://schemas.openxmlformats.org/officeDocument/2006/relationships/chart" Target="../charts/chart13.xml"/><Relationship Id="rId5" Type="http://schemas.openxmlformats.org/officeDocument/2006/relationships/chart" Target="../charts/chart7.xml"/><Relationship Id="rId10" Type="http://schemas.openxmlformats.org/officeDocument/2006/relationships/chart" Target="../charts/chart12.xml"/><Relationship Id="rId4" Type="http://schemas.openxmlformats.org/officeDocument/2006/relationships/chart" Target="../charts/chart6.xml"/><Relationship Id="rId9"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chart" Target="../charts/chart16.xml"/><Relationship Id="rId1" Type="http://schemas.openxmlformats.org/officeDocument/2006/relationships/chart" Target="../charts/chart15.xml"/></Relationships>
</file>

<file path=xl/drawings/_rels/drawing19.xml.rels><?xml version="1.0" encoding="UTF-8" standalone="yes"?>
<Relationships xmlns="http://schemas.openxmlformats.org/package/2006/relationships"><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571500</xdr:colOff>
      <xdr:row>29</xdr:row>
      <xdr:rowOff>47625</xdr:rowOff>
    </xdr:to>
    <xdr:pic>
      <xdr:nvPicPr>
        <xdr:cNvPr id="5278355" name="Picture 27" descr="Titula3"/>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9286875" cy="8267700"/>
        </a:xfrm>
        <a:prstGeom prst="rect">
          <a:avLst/>
        </a:prstGeom>
        <a:noFill/>
        <a:ln w="9525">
          <a:noFill/>
          <a:miter lim="800000"/>
          <a:headEnd/>
          <a:tailEnd/>
        </a:ln>
      </xdr:spPr>
    </xdr:pic>
    <xdr:clientData/>
  </xdr:twoCellAnchor>
  <xdr:twoCellAnchor>
    <xdr:from>
      <xdr:col>0</xdr:col>
      <xdr:colOff>209550</xdr:colOff>
      <xdr:row>7</xdr:row>
      <xdr:rowOff>85725</xdr:rowOff>
    </xdr:from>
    <xdr:to>
      <xdr:col>10</xdr:col>
      <xdr:colOff>219075</xdr:colOff>
      <xdr:row>11</xdr:row>
      <xdr:rowOff>209550</xdr:rowOff>
    </xdr:to>
    <xdr:sp macro="" textlink="">
      <xdr:nvSpPr>
        <xdr:cNvPr id="18460" name="WordArt 28">
          <a:extLst>
            <a:ext uri="{FF2B5EF4-FFF2-40B4-BE49-F238E27FC236}"/>
          </a:extLst>
        </xdr:cNvPr>
        <xdr:cNvSpPr>
          <a:spLocks noChangeArrowheads="1" noChangeShapeType="1" noTextEdit="1"/>
        </xdr:cNvSpPr>
      </xdr:nvSpPr>
      <xdr:spPr bwMode="auto">
        <a:xfrm rot="-2297207">
          <a:off x="209550" y="2228850"/>
          <a:ext cx="5819775" cy="1228725"/>
        </a:xfrm>
        <a:prstGeom prst="rect">
          <a:avLst/>
        </a:prstGeom>
      </xdr:spPr>
      <xdr:txBody>
        <a:bodyPr wrap="none" fromWordArt="1">
          <a:prstTxWarp prst="textWave2">
            <a:avLst>
              <a:gd name="adj1" fmla="val 13005"/>
              <a:gd name="adj2" fmla="val 0"/>
            </a:avLst>
          </a:prstTxWarp>
        </a:bodyPr>
        <a:lstStyle/>
        <a:p>
          <a:pPr algn="ctr" rtl="0"/>
          <a:r>
            <a:rPr lang="pt-BR" sz="3600" b="1" kern="10" spc="0">
              <a:ln w="38100">
                <a:solidFill>
                  <a:srgbClr val="F4EE00"/>
                </a:solidFill>
                <a:round/>
                <a:headEnd/>
                <a:tailEnd/>
              </a:ln>
              <a:solidFill>
                <a:srgbClr val="000080"/>
              </a:solidFill>
              <a:effectLst>
                <a:outerShdw dist="45791" dir="2021404" algn="ctr" rotWithShape="0">
                  <a:srgbClr val="C0C0C0"/>
                </a:outerShdw>
              </a:effectLst>
              <a:latin typeface="Bookman Old Style"/>
            </a:rPr>
            <a:t>CurTiPot</a:t>
          </a:r>
        </a:p>
      </xdr:txBody>
    </xdr:sp>
    <xdr:clientData/>
  </xdr:twoCellAnchor>
  <xdr:twoCellAnchor>
    <xdr:from>
      <xdr:col>8</xdr:col>
      <xdr:colOff>560854</xdr:colOff>
      <xdr:row>19</xdr:row>
      <xdr:rowOff>23110</xdr:rowOff>
    </xdr:from>
    <xdr:to>
      <xdr:col>16</xdr:col>
      <xdr:colOff>189379</xdr:colOff>
      <xdr:row>21</xdr:row>
      <xdr:rowOff>268940</xdr:rowOff>
    </xdr:to>
    <xdr:sp macro="" textlink="">
      <xdr:nvSpPr>
        <xdr:cNvPr id="18461" name="Text Box 29">
          <a:extLst>
            <a:ext uri="{FF2B5EF4-FFF2-40B4-BE49-F238E27FC236}"/>
          </a:extLst>
        </xdr:cNvPr>
        <xdr:cNvSpPr txBox="1">
          <a:spLocks noChangeArrowheads="1"/>
        </xdr:cNvSpPr>
      </xdr:nvSpPr>
      <xdr:spPr bwMode="auto">
        <a:xfrm>
          <a:off x="5222501" y="5547610"/>
          <a:ext cx="4290172" cy="806124"/>
        </a:xfrm>
        <a:prstGeom prst="rect">
          <a:avLst/>
        </a:prstGeom>
        <a:noFill/>
        <a:ln w="9525">
          <a:noFill/>
          <a:miter lim="800000"/>
          <a:headEnd/>
          <a:tailEnd/>
        </a:ln>
        <a:effectLst/>
      </xdr:spPr>
      <xdr:txBody>
        <a:bodyPr vertOverflow="clip" wrap="square" lIns="36576" tIns="32004" rIns="36576" bIns="0" anchor="t" upright="1"/>
        <a:lstStyle/>
        <a:p>
          <a:pPr algn="ctr" rtl="1">
            <a:defRPr sz="1000"/>
          </a:pPr>
          <a:r>
            <a:rPr lang="pt-BR" sz="1600" b="1" i="0" strike="noStrike">
              <a:solidFill>
                <a:srgbClr val="FFFF99"/>
              </a:solidFill>
              <a:latin typeface="Arial"/>
              <a:cs typeface="Arial"/>
            </a:rPr>
            <a:t> Version 4.3.0</a:t>
          </a:r>
          <a:r>
            <a:rPr lang="pt-BR" sz="1600" b="1" i="0" strike="noStrike" baseline="0">
              <a:solidFill>
                <a:srgbClr val="FFFF99"/>
              </a:solidFill>
              <a:latin typeface="Arial"/>
              <a:cs typeface="Arial"/>
            </a:rPr>
            <a:t> </a:t>
          </a:r>
          <a:r>
            <a:rPr lang="pt-BR" sz="1600" b="1" i="0" strike="noStrike">
              <a:solidFill>
                <a:srgbClr val="FFFF99"/>
              </a:solidFill>
              <a:latin typeface="Arial"/>
              <a:cs typeface="Arial"/>
            </a:rPr>
            <a:t/>
          </a:r>
          <a:br>
            <a:rPr lang="pt-BR" sz="1600" b="1" i="0" strike="noStrike">
              <a:solidFill>
                <a:srgbClr val="FFFF99"/>
              </a:solidFill>
              <a:latin typeface="Arial"/>
              <a:cs typeface="Arial"/>
            </a:rPr>
          </a:br>
          <a:r>
            <a:rPr lang="pt-BR" sz="1600" b="0" i="0" strike="noStrike">
              <a:solidFill>
                <a:srgbClr val="FFFF99"/>
              </a:solidFill>
              <a:latin typeface="Arial"/>
              <a:cs typeface="Arial"/>
            </a:rPr>
            <a:t>January/2018</a:t>
          </a:r>
          <a:br>
            <a:rPr lang="pt-BR" sz="1600" b="0" i="0" strike="noStrike">
              <a:solidFill>
                <a:srgbClr val="FFFF99"/>
              </a:solidFill>
              <a:latin typeface="Arial"/>
              <a:cs typeface="Arial"/>
            </a:rPr>
          </a:br>
          <a:r>
            <a:rPr lang="pt-BR" sz="1400" b="0" i="0" strike="noStrike">
              <a:solidFill>
                <a:srgbClr val="FFFF99"/>
              </a:solidFill>
              <a:latin typeface="Arial"/>
              <a:cs typeface="Arial"/>
            </a:rPr>
            <a:t>for Microsoft Excel</a:t>
          </a:r>
          <a:r>
            <a:rPr lang="pt-BR" sz="1400" b="0" i="0" strike="noStrike" baseline="30000">
              <a:solidFill>
                <a:srgbClr val="FFFF99"/>
              </a:solidFill>
              <a:latin typeface="Arial"/>
              <a:cs typeface="Arial"/>
            </a:rPr>
            <a:t>® </a:t>
          </a:r>
          <a:endParaRPr lang="pt-BR" sz="1600" b="0" i="0" strike="noStrike">
            <a:solidFill>
              <a:srgbClr val="FFFF99"/>
            </a:solidFill>
            <a:latin typeface="Arial"/>
            <a:cs typeface="Arial"/>
          </a:endParaRPr>
        </a:p>
        <a:p>
          <a:pPr algn="ctr" rtl="1">
            <a:defRPr sz="1000"/>
          </a:pPr>
          <a:endParaRPr lang="pt-BR" sz="2000" b="0" i="0" strike="noStrike">
            <a:solidFill>
              <a:srgbClr val="F4EE00"/>
            </a:solidFill>
            <a:latin typeface="Arial"/>
            <a:cs typeface="Arial"/>
          </a:endParaRPr>
        </a:p>
        <a:p>
          <a:pPr algn="ctr" rtl="1">
            <a:defRPr sz="1000"/>
          </a:pPr>
          <a:endParaRPr lang="pt-BR" sz="2000" b="0" i="0" strike="noStrike">
            <a:solidFill>
              <a:srgbClr val="F4EE00"/>
            </a:solidFill>
            <a:latin typeface="Arial"/>
            <a:cs typeface="Arial"/>
          </a:endParaRPr>
        </a:p>
      </xdr:txBody>
    </xdr:sp>
    <xdr:clientData/>
  </xdr:twoCellAnchor>
  <xdr:twoCellAnchor>
    <xdr:from>
      <xdr:col>13</xdr:col>
      <xdr:colOff>228600</xdr:colOff>
      <xdr:row>5</xdr:row>
      <xdr:rowOff>173691</xdr:rowOff>
    </xdr:from>
    <xdr:to>
      <xdr:col>16</xdr:col>
      <xdr:colOff>390525</xdr:colOff>
      <xdr:row>6</xdr:row>
      <xdr:rowOff>221316</xdr:rowOff>
    </xdr:to>
    <xdr:sp macro="" textlink="">
      <xdr:nvSpPr>
        <xdr:cNvPr id="1814802" name="Text Box 35">
          <a:extLst>
            <a:ext uri="{FF2B5EF4-FFF2-40B4-BE49-F238E27FC236}"/>
          </a:extLst>
        </xdr:cNvPr>
        <xdr:cNvSpPr txBox="1">
          <a:spLocks noChangeArrowheads="1"/>
        </xdr:cNvSpPr>
      </xdr:nvSpPr>
      <xdr:spPr bwMode="auto">
        <a:xfrm>
          <a:off x="7803776" y="1776132"/>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Features</a:t>
          </a:r>
        </a:p>
      </xdr:txBody>
    </xdr:sp>
    <xdr:clientData/>
  </xdr:twoCellAnchor>
  <xdr:twoCellAnchor>
    <xdr:from>
      <xdr:col>13</xdr:col>
      <xdr:colOff>228601</xdr:colOff>
      <xdr:row>11</xdr:row>
      <xdr:rowOff>31937</xdr:rowOff>
    </xdr:from>
    <xdr:to>
      <xdr:col>16</xdr:col>
      <xdr:colOff>392207</xdr:colOff>
      <xdr:row>12</xdr:row>
      <xdr:rowOff>89087</xdr:rowOff>
    </xdr:to>
    <xdr:sp macro="" textlink="">
      <xdr:nvSpPr>
        <xdr:cNvPr id="1814803" name="Text Box 36">
          <a:extLst>
            <a:ext uri="{FF2B5EF4-FFF2-40B4-BE49-F238E27FC236}"/>
          </a:extLst>
        </xdr:cNvPr>
        <xdr:cNvSpPr txBox="1">
          <a:spLocks noChangeArrowheads="1"/>
        </xdr:cNvSpPr>
      </xdr:nvSpPr>
      <xdr:spPr bwMode="auto">
        <a:xfrm>
          <a:off x="7803777" y="3315261"/>
          <a:ext cx="1911724"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Installation</a:t>
          </a:r>
        </a:p>
      </xdr:txBody>
    </xdr:sp>
    <xdr:clientData/>
  </xdr:twoCellAnchor>
  <xdr:twoCellAnchor>
    <xdr:from>
      <xdr:col>13</xdr:col>
      <xdr:colOff>228600</xdr:colOff>
      <xdr:row>17</xdr:row>
      <xdr:rowOff>5043</xdr:rowOff>
    </xdr:from>
    <xdr:to>
      <xdr:col>16</xdr:col>
      <xdr:colOff>390525</xdr:colOff>
      <xdr:row>18</xdr:row>
      <xdr:rowOff>62193</xdr:rowOff>
    </xdr:to>
    <xdr:sp macro="" textlink="">
      <xdr:nvSpPr>
        <xdr:cNvPr id="1814804" name="Text Box 37">
          <a:extLst>
            <a:ext uri="{FF2B5EF4-FFF2-40B4-BE49-F238E27FC236}"/>
          </a:extLst>
        </xdr:cNvPr>
        <xdr:cNvSpPr txBox="1">
          <a:spLocks noChangeArrowheads="1"/>
        </xdr:cNvSpPr>
      </xdr:nvSpPr>
      <xdr:spPr bwMode="auto">
        <a:xfrm>
          <a:off x="7803776" y="4969249"/>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Remarks</a:t>
          </a:r>
        </a:p>
      </xdr:txBody>
    </xdr:sp>
    <xdr:clientData/>
  </xdr:twoCellAnchor>
  <xdr:twoCellAnchor>
    <xdr:from>
      <xdr:col>13</xdr:col>
      <xdr:colOff>228600</xdr:colOff>
      <xdr:row>22</xdr:row>
      <xdr:rowOff>271182</xdr:rowOff>
    </xdr:from>
    <xdr:to>
      <xdr:col>16</xdr:col>
      <xdr:colOff>390525</xdr:colOff>
      <xdr:row>24</xdr:row>
      <xdr:rowOff>48185</xdr:rowOff>
    </xdr:to>
    <xdr:sp macro="" textlink="">
      <xdr:nvSpPr>
        <xdr:cNvPr id="1814805" name="Text Box 38">
          <a:extLst>
            <a:ext uri="{FF2B5EF4-FFF2-40B4-BE49-F238E27FC236}"/>
          </a:extLst>
        </xdr:cNvPr>
        <xdr:cNvSpPr txBox="1">
          <a:spLocks noChangeArrowheads="1"/>
        </xdr:cNvSpPr>
      </xdr:nvSpPr>
      <xdr:spPr bwMode="auto">
        <a:xfrm>
          <a:off x="7803776" y="6636123"/>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Fast Start</a:t>
          </a:r>
        </a:p>
      </xdr:txBody>
    </xdr:sp>
    <xdr:clientData/>
  </xdr:twoCellAnchor>
  <xdr:twoCellAnchor>
    <xdr:from>
      <xdr:col>0</xdr:col>
      <xdr:colOff>9525</xdr:colOff>
      <xdr:row>3</xdr:row>
      <xdr:rowOff>257175</xdr:rowOff>
    </xdr:from>
    <xdr:to>
      <xdr:col>16</xdr:col>
      <xdr:colOff>371475</xdr:colOff>
      <xdr:row>18</xdr:row>
      <xdr:rowOff>190500</xdr:rowOff>
    </xdr:to>
    <xdr:sp macro="" textlink="">
      <xdr:nvSpPr>
        <xdr:cNvPr id="5278362" name="Freeform 57"/>
        <xdr:cNvSpPr>
          <a:spLocks/>
        </xdr:cNvSpPr>
      </xdr:nvSpPr>
      <xdr:spPr bwMode="auto">
        <a:xfrm>
          <a:off x="9525" y="1295400"/>
          <a:ext cx="9658350" cy="4076700"/>
        </a:xfrm>
        <a:custGeom>
          <a:avLst/>
          <a:gdLst>
            <a:gd name="T0" fmla="*/ 2147483647 w 1009"/>
            <a:gd name="T1" fmla="*/ 2147483647 h 442"/>
            <a:gd name="T2" fmla="*/ 2147483647 w 1009"/>
            <a:gd name="T3" fmla="*/ 2147483647 h 442"/>
            <a:gd name="T4" fmla="*/ 2147483647 w 1009"/>
            <a:gd name="T5" fmla="*/ 2147483647 h 442"/>
            <a:gd name="T6" fmla="*/ 0 w 1009"/>
            <a:gd name="T7" fmla="*/ 2147483647 h 442"/>
            <a:gd name="T8" fmla="*/ 0 60000 65536"/>
            <a:gd name="T9" fmla="*/ 0 60000 65536"/>
            <a:gd name="T10" fmla="*/ 0 60000 65536"/>
            <a:gd name="T11" fmla="*/ 0 60000 65536"/>
            <a:gd name="T12" fmla="*/ 0 w 1009"/>
            <a:gd name="T13" fmla="*/ 0 h 442"/>
            <a:gd name="T14" fmla="*/ 1009 w 1009"/>
            <a:gd name="T15" fmla="*/ 442 h 442"/>
          </a:gdLst>
          <a:ahLst/>
          <a:cxnLst>
            <a:cxn ang="T8">
              <a:pos x="T0" y="T1"/>
            </a:cxn>
            <a:cxn ang="T9">
              <a:pos x="T2" y="T3"/>
            </a:cxn>
            <a:cxn ang="T10">
              <a:pos x="T4" y="T5"/>
            </a:cxn>
            <a:cxn ang="T11">
              <a:pos x="T6" y="T7"/>
            </a:cxn>
          </a:cxnLst>
          <a:rect l="T12" t="T13" r="T14" b="T15"/>
          <a:pathLst>
            <a:path w="1009" h="442">
              <a:moveTo>
                <a:pt x="1009" y="16"/>
              </a:moveTo>
              <a:cubicBezTo>
                <a:pt x="943" y="23"/>
                <a:pt x="741" y="0"/>
                <a:pt x="613" y="60"/>
              </a:cubicBezTo>
              <a:cubicBezTo>
                <a:pt x="485" y="120"/>
                <a:pt x="342" y="316"/>
                <a:pt x="240" y="379"/>
              </a:cubicBezTo>
              <a:cubicBezTo>
                <a:pt x="138" y="442"/>
                <a:pt x="50" y="424"/>
                <a:pt x="0" y="436"/>
              </a:cubicBezTo>
            </a:path>
          </a:pathLst>
        </a:custGeom>
        <a:noFill/>
        <a:ln w="120650">
          <a:pattFill prst="pct80">
            <a:fgClr>
              <a:srgbClr val="00008A"/>
            </a:fgClr>
            <a:bgClr>
              <a:srgbClr val="FFFFFF"/>
            </a:bgClr>
          </a:pattFill>
          <a:round/>
          <a:headEnd type="stealth" w="med" len="med"/>
          <a:tailEnd/>
        </a:ln>
      </xdr:spPr>
    </xdr:sp>
    <xdr:clientData/>
  </xdr:twoCellAnchor>
  <xdr:twoCellAnchor>
    <xdr:from>
      <xdr:col>0</xdr:col>
      <xdr:colOff>38100</xdr:colOff>
      <xdr:row>18</xdr:row>
      <xdr:rowOff>238125</xdr:rowOff>
    </xdr:from>
    <xdr:to>
      <xdr:col>5</xdr:col>
      <xdr:colOff>552450</xdr:colOff>
      <xdr:row>21</xdr:row>
      <xdr:rowOff>190500</xdr:rowOff>
    </xdr:to>
    <xdr:sp macro="" textlink="">
      <xdr:nvSpPr>
        <xdr:cNvPr id="18494" name="Text Box 62">
          <a:extLst>
            <a:ext uri="{FF2B5EF4-FFF2-40B4-BE49-F238E27FC236}"/>
          </a:extLst>
        </xdr:cNvPr>
        <xdr:cNvSpPr txBox="1">
          <a:spLocks noChangeArrowheads="1"/>
        </xdr:cNvSpPr>
      </xdr:nvSpPr>
      <xdr:spPr bwMode="auto">
        <a:xfrm>
          <a:off x="38100" y="5419725"/>
          <a:ext cx="3419475" cy="781050"/>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0" i="0" strike="noStrike">
              <a:solidFill>
                <a:srgbClr val="FFFF99"/>
              </a:solidFill>
              <a:latin typeface="Arial"/>
              <a:cs typeface="Arial"/>
            </a:rPr>
            <a:t>Copyright © 1992 - 2018</a:t>
          </a:r>
        </a:p>
        <a:p>
          <a:pPr algn="ctr" rtl="0">
            <a:defRPr sz="1000"/>
          </a:pPr>
          <a:r>
            <a:rPr lang="pt-BR" sz="1600" b="0" i="0" strike="noStrike">
              <a:solidFill>
                <a:srgbClr val="FFFF99"/>
              </a:solidFill>
              <a:latin typeface="Arial"/>
              <a:cs typeface="Arial"/>
            </a:rPr>
            <a:t>Prof. Ivano G.R. Gutz</a:t>
          </a:r>
          <a:endParaRPr lang="pt-BR" sz="1600" b="1" i="0" strike="noStrike">
            <a:solidFill>
              <a:srgbClr val="FFFF99"/>
            </a:solidFill>
            <a:latin typeface="Arial"/>
            <a:cs typeface="Arial"/>
          </a:endParaRPr>
        </a:p>
        <a:p>
          <a:pPr algn="ctr" rtl="0">
            <a:defRPr sz="1000"/>
          </a:pPr>
          <a:r>
            <a:rPr lang="pt-BR" sz="1400" b="1" i="0" strike="noStrike">
              <a:solidFill>
                <a:srgbClr val="FFFF99"/>
              </a:solidFill>
              <a:latin typeface="Arial"/>
              <a:cs typeface="Arial"/>
            </a:rPr>
            <a:t>gutz@iq.usp.br</a:t>
          </a:r>
          <a:endParaRPr lang="pt-BR" sz="1000" b="0" i="0" strike="noStrike">
            <a:solidFill>
              <a:srgbClr val="FFFF99"/>
            </a:solidFill>
            <a:latin typeface="Arial"/>
            <a:cs typeface="Arial"/>
          </a:endParaRPr>
        </a:p>
        <a:p>
          <a:pPr algn="ctr" rtl="0">
            <a:defRPr sz="1000"/>
          </a:pPr>
          <a:endParaRPr lang="pt-BR" sz="1000" b="0" i="0" strike="noStrike">
            <a:solidFill>
              <a:srgbClr val="FFFF99"/>
            </a:solidFill>
            <a:latin typeface="Arial"/>
            <a:cs typeface="Arial"/>
          </a:endParaRPr>
        </a:p>
      </xdr:txBody>
    </xdr:sp>
    <xdr:clientData/>
  </xdr:twoCellAnchor>
  <xdr:twoCellAnchor>
    <xdr:from>
      <xdr:col>7</xdr:col>
      <xdr:colOff>281828</xdr:colOff>
      <xdr:row>24</xdr:row>
      <xdr:rowOff>143436</xdr:rowOff>
    </xdr:from>
    <xdr:to>
      <xdr:col>15</xdr:col>
      <xdr:colOff>13447</xdr:colOff>
      <xdr:row>26</xdr:row>
      <xdr:rowOff>114861</xdr:rowOff>
    </xdr:to>
    <xdr:sp macro="" textlink="">
      <xdr:nvSpPr>
        <xdr:cNvPr id="18495" name="Text Box 63">
          <a:extLst>
            <a:ext uri="{FF2B5EF4-FFF2-40B4-BE49-F238E27FC236}"/>
          </a:extLst>
        </xdr:cNvPr>
        <xdr:cNvSpPr txBox="1">
          <a:spLocks noChangeArrowheads="1"/>
        </xdr:cNvSpPr>
      </xdr:nvSpPr>
      <xdr:spPr bwMode="auto">
        <a:xfrm>
          <a:off x="4360769" y="7068671"/>
          <a:ext cx="4393266" cy="531719"/>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1" i="0" strike="noStrike">
              <a:solidFill>
                <a:srgbClr val="FFFF99"/>
              </a:solidFill>
              <a:latin typeface="Arial Narrow"/>
            </a:rPr>
            <a:t>http://www.iq.usp.br/gutz/Curtipot_.html</a:t>
          </a:r>
        </a:p>
      </xdr:txBody>
    </xdr:sp>
    <xdr:clientData/>
  </xdr:twoCellAnchor>
  <xdr:twoCellAnchor editAs="oneCell">
    <xdr:from>
      <xdr:col>10</xdr:col>
      <xdr:colOff>180975</xdr:colOff>
      <xdr:row>0</xdr:row>
      <xdr:rowOff>333375</xdr:rowOff>
    </xdr:from>
    <xdr:to>
      <xdr:col>11</xdr:col>
      <xdr:colOff>19050</xdr:colOff>
      <xdr:row>1</xdr:row>
      <xdr:rowOff>314325</xdr:rowOff>
    </xdr:to>
    <xdr:pic>
      <xdr:nvPicPr>
        <xdr:cNvPr id="5278365" name="Picture 64" descr="Curtipot_Icon"/>
        <xdr:cNvPicPr>
          <a:picLocks noChangeAspect="1" noChangeArrowheads="1"/>
        </xdr:cNvPicPr>
      </xdr:nvPicPr>
      <xdr:blipFill>
        <a:blip xmlns:r="http://schemas.openxmlformats.org/officeDocument/2006/relationships" r:embed="rId2" cstate="print"/>
        <a:srcRect/>
        <a:stretch>
          <a:fillRect/>
        </a:stretch>
      </xdr:blipFill>
      <xdr:spPr bwMode="auto">
        <a:xfrm>
          <a:off x="5991225" y="333375"/>
          <a:ext cx="419100" cy="400050"/>
        </a:xfrm>
        <a:prstGeom prst="rect">
          <a:avLst/>
        </a:prstGeom>
        <a:noFill/>
        <a:ln w="9525">
          <a:noFill/>
          <a:miter lim="800000"/>
          <a:headEnd/>
          <a:tailEnd/>
        </a:ln>
      </xdr:spPr>
    </xdr:pic>
    <xdr:clientData/>
  </xdr:twoCellAnchor>
  <xdr:twoCellAnchor>
    <xdr:from>
      <xdr:col>13</xdr:col>
      <xdr:colOff>228600</xdr:colOff>
      <xdr:row>30</xdr:row>
      <xdr:rowOff>278465</xdr:rowOff>
    </xdr:from>
    <xdr:to>
      <xdr:col>16</xdr:col>
      <xdr:colOff>390525</xdr:colOff>
      <xdr:row>32</xdr:row>
      <xdr:rowOff>45943</xdr:rowOff>
    </xdr:to>
    <xdr:sp macro="" textlink="">
      <xdr:nvSpPr>
        <xdr:cNvPr id="1814811" name="Text Box 66">
          <a:extLst>
            <a:ext uri="{FF2B5EF4-FFF2-40B4-BE49-F238E27FC236}"/>
          </a:extLst>
        </xdr:cNvPr>
        <xdr:cNvSpPr txBox="1">
          <a:spLocks noChangeArrowheads="1"/>
        </xdr:cNvSpPr>
      </xdr:nvSpPr>
      <xdr:spPr bwMode="auto">
        <a:xfrm>
          <a:off x="7803776" y="8884583"/>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History</a:t>
          </a:r>
        </a:p>
      </xdr:txBody>
    </xdr:sp>
    <xdr:clientData/>
  </xdr:twoCellAnchor>
  <xdr:twoCellAnchor>
    <xdr:from>
      <xdr:col>3</xdr:col>
      <xdr:colOff>87966</xdr:colOff>
      <xdr:row>30</xdr:row>
      <xdr:rowOff>233643</xdr:rowOff>
    </xdr:from>
    <xdr:to>
      <xdr:col>11</xdr:col>
      <xdr:colOff>230841</xdr:colOff>
      <xdr:row>32</xdr:row>
      <xdr:rowOff>10646</xdr:rowOff>
    </xdr:to>
    <xdr:sp macro="" textlink="">
      <xdr:nvSpPr>
        <xdr:cNvPr id="1814812" name="Text Box 74">
          <a:extLst>
            <a:ext uri="{FF2B5EF4-FFF2-40B4-BE49-F238E27FC236}"/>
          </a:extLst>
        </xdr:cNvPr>
        <xdr:cNvSpPr txBox="1">
          <a:spLocks noChangeArrowheads="1"/>
        </xdr:cNvSpPr>
      </xdr:nvSpPr>
      <xdr:spPr bwMode="auto">
        <a:xfrm>
          <a:off x="1836084" y="8839761"/>
          <a:ext cx="4804522"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This freeware is a courtesy of</a:t>
          </a:r>
        </a:p>
      </xdr:txBody>
    </xdr:sp>
    <xdr:clientData/>
  </xdr:twoCellAnchor>
  <xdr:twoCellAnchor editAs="oneCell">
    <xdr:from>
      <xdr:col>0</xdr:col>
      <xdr:colOff>390525</xdr:colOff>
      <xdr:row>33</xdr:row>
      <xdr:rowOff>247650</xdr:rowOff>
    </xdr:from>
    <xdr:to>
      <xdr:col>2</xdr:col>
      <xdr:colOff>476250</xdr:colOff>
      <xdr:row>40</xdr:row>
      <xdr:rowOff>66675</xdr:rowOff>
    </xdr:to>
    <xdr:pic>
      <xdr:nvPicPr>
        <xdr:cNvPr id="5278368" name="Picture 77" descr="gutz6"/>
        <xdr:cNvPicPr>
          <a:picLocks noChangeAspect="1" noChangeArrowheads="1"/>
        </xdr:cNvPicPr>
      </xdr:nvPicPr>
      <xdr:blipFill>
        <a:blip xmlns:r="http://schemas.openxmlformats.org/officeDocument/2006/relationships" r:embed="rId3" cstate="print"/>
        <a:srcRect/>
        <a:stretch>
          <a:fillRect/>
        </a:stretch>
      </xdr:blipFill>
      <xdr:spPr bwMode="auto">
        <a:xfrm>
          <a:off x="390525" y="9572625"/>
          <a:ext cx="1247775" cy="1752600"/>
        </a:xfrm>
        <a:prstGeom prst="rect">
          <a:avLst/>
        </a:prstGeom>
        <a:noFill/>
        <a:ln w="9525">
          <a:noFill/>
          <a:miter lim="800000"/>
          <a:headEnd/>
          <a:tailEnd/>
        </a:ln>
      </xdr:spPr>
    </xdr:pic>
    <xdr:clientData/>
  </xdr:twoCellAnchor>
  <xdr:twoCellAnchor>
    <xdr:from>
      <xdr:col>9</xdr:col>
      <xdr:colOff>257175</xdr:colOff>
      <xdr:row>0</xdr:row>
      <xdr:rowOff>219075</xdr:rowOff>
    </xdr:from>
    <xdr:to>
      <xdr:col>15</xdr:col>
      <xdr:colOff>533400</xdr:colOff>
      <xdr:row>4</xdr:row>
      <xdr:rowOff>19050</xdr:rowOff>
    </xdr:to>
    <xdr:sp macro="" textlink="">
      <xdr:nvSpPr>
        <xdr:cNvPr id="1814821" name="Text Box 2341">
          <a:extLst>
            <a:ext uri="{FF2B5EF4-FFF2-40B4-BE49-F238E27FC236}"/>
          </a:extLst>
        </xdr:cNvPr>
        <xdr:cNvSpPr txBox="1">
          <a:spLocks noChangeArrowheads="1"/>
        </xdr:cNvSpPr>
      </xdr:nvSpPr>
      <xdr:spPr bwMode="auto">
        <a:xfrm>
          <a:off x="5486400" y="219075"/>
          <a:ext cx="3762375" cy="1114425"/>
        </a:xfrm>
        <a:prstGeom prst="rect">
          <a:avLst/>
        </a:prstGeom>
        <a:noFill/>
        <a:ln w="9525">
          <a:noFill/>
          <a:miter lim="800000"/>
          <a:headEnd/>
          <a:tailEnd/>
        </a:ln>
        <a:effectLst/>
      </xdr:spPr>
      <xdr:txBody>
        <a:bodyPr vertOverflow="clip" wrap="square" lIns="45720" tIns="36576" rIns="45720" bIns="0" anchor="t" upright="1"/>
        <a:lstStyle/>
        <a:p>
          <a:pPr algn="ctr" rtl="0">
            <a:defRPr sz="1000"/>
          </a:pPr>
          <a:r>
            <a:rPr lang="pt-BR" sz="1800" b="1" i="0" strike="noStrike">
              <a:solidFill>
                <a:srgbClr val="000080"/>
              </a:solidFill>
              <a:latin typeface="Bookman Old Style"/>
            </a:rPr>
            <a:t>        pH and Acid-Base </a:t>
          </a:r>
        </a:p>
        <a:p>
          <a:pPr algn="ctr" rtl="0">
            <a:defRPr sz="1000"/>
          </a:pPr>
          <a:r>
            <a:rPr lang="pt-BR" sz="1800" b="1" i="0" strike="noStrike">
              <a:solidFill>
                <a:srgbClr val="000080"/>
              </a:solidFill>
              <a:latin typeface="Bookman Old Style"/>
            </a:rPr>
            <a:t>         Titration Curves:</a:t>
          </a:r>
        </a:p>
        <a:p>
          <a:pPr algn="ctr" rtl="0">
            <a:defRPr sz="1000"/>
          </a:pPr>
          <a:r>
            <a:rPr lang="pt-BR" sz="1800" b="1" i="0" strike="noStrike">
              <a:solidFill>
                <a:srgbClr val="000080"/>
              </a:solidFill>
              <a:latin typeface="Bookman Old Style"/>
            </a:rPr>
            <a:t>Analysis and Simulation</a:t>
          </a:r>
        </a:p>
      </xdr:txBody>
    </xdr:sp>
    <xdr:clientData/>
  </xdr:twoCellAnchor>
  <xdr:twoCellAnchor>
    <xdr:from>
      <xdr:col>18</xdr:col>
      <xdr:colOff>246538</xdr:colOff>
      <xdr:row>22</xdr:row>
      <xdr:rowOff>78442</xdr:rowOff>
    </xdr:from>
    <xdr:to>
      <xdr:col>28</xdr:col>
      <xdr:colOff>123265</xdr:colOff>
      <xdr:row>24</xdr:row>
      <xdr:rowOff>33619</xdr:rowOff>
    </xdr:to>
    <xdr:sp macro="" textlink="">
      <xdr:nvSpPr>
        <xdr:cNvPr id="17" name="Texto explicativo retangular com cantos arredondados 16">
          <a:extLst>
            <a:ext uri="{FF2B5EF4-FFF2-40B4-BE49-F238E27FC236}"/>
          </a:extLst>
        </xdr:cNvPr>
        <xdr:cNvSpPr/>
      </xdr:nvSpPr>
      <xdr:spPr bwMode="auto">
        <a:xfrm>
          <a:off x="10836097" y="6443383"/>
          <a:ext cx="6712315" cy="515471"/>
        </a:xfrm>
        <a:prstGeom prst="wedgeRoundRectCallout">
          <a:avLst>
            <a:gd name="adj1" fmla="val -90744"/>
            <a:gd name="adj2" fmla="val 87517"/>
            <a:gd name="adj3" fmla="val 16667"/>
          </a:avLst>
        </a:prstGeom>
        <a:solidFill>
          <a:srgbClr val="FFFFCC">
            <a:alpha val="66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400" b="1">
              <a:solidFill>
                <a:srgbClr val="002060"/>
              </a:solidFill>
              <a:latin typeface="+mn-lt"/>
            </a:rPr>
            <a:t>If you are a beginner, have a look at </a:t>
          </a:r>
          <a:r>
            <a:rPr lang="pt-BR" sz="1400" b="1">
              <a:solidFill>
                <a:srgbClr val="002060"/>
              </a:solidFill>
              <a:latin typeface="Bookman Old Style" pitchFamily="18" charset="0"/>
            </a:rPr>
            <a:t>CurTiPot_i</a:t>
          </a:r>
          <a:r>
            <a:rPr lang="pt-BR" sz="1400" b="1">
              <a:solidFill>
                <a:srgbClr val="002060"/>
              </a:solidFill>
            </a:rPr>
            <a:t>  </a:t>
          </a:r>
          <a:r>
            <a:rPr lang="pt-BR" sz="1400" b="1">
              <a:solidFill>
                <a:srgbClr val="002060"/>
              </a:solidFill>
              <a:sym typeface="Symbol"/>
            </a:rPr>
            <a:t>  w</a:t>
          </a:r>
          <a:r>
            <a:rPr lang="pt-BR" sz="1400" b="1">
              <a:solidFill>
                <a:srgbClr val="002060"/>
              </a:solidFill>
            </a:rPr>
            <a:t>ith text balloons </a:t>
          </a:r>
          <a:r>
            <a:rPr lang="pt-BR" sz="1400" b="0" baseline="0">
              <a:solidFill>
                <a:srgbClr val="002060"/>
              </a:solidFill>
            </a:rPr>
            <a:t>(like this one) </a:t>
          </a:r>
          <a:br>
            <a:rPr lang="pt-BR" sz="1400" b="0" baseline="0">
              <a:solidFill>
                <a:srgbClr val="002060"/>
              </a:solidFill>
            </a:rPr>
          </a:br>
          <a:r>
            <a:rPr lang="pt-BR" sz="1400" b="1" baseline="0">
              <a:solidFill>
                <a:srgbClr val="002060"/>
              </a:solidFill>
            </a:rPr>
            <a:t>to guide you through the 8 modules. </a:t>
          </a:r>
          <a:r>
            <a:rPr lang="pt-BR" sz="1400" b="0" baseline="0">
              <a:solidFill>
                <a:srgbClr val="002060"/>
              </a:solidFill>
            </a:rPr>
            <a:t> Available  from the author's site.</a:t>
          </a:r>
          <a:endParaRPr lang="pt-BR" sz="1400" b="1">
            <a:solidFill>
              <a:srgbClr val="002060"/>
            </a:solidFill>
          </a:endParaRPr>
        </a:p>
      </xdr:txBody>
    </xdr:sp>
    <xdr:clientData/>
  </xdr:twoCellAnchor>
  <xdr:twoCellAnchor>
    <xdr:from>
      <xdr:col>7</xdr:col>
      <xdr:colOff>179294</xdr:colOff>
      <xdr:row>10</xdr:row>
      <xdr:rowOff>257735</xdr:rowOff>
    </xdr:from>
    <xdr:to>
      <xdr:col>12</xdr:col>
      <xdr:colOff>551888</xdr:colOff>
      <xdr:row>16</xdr:row>
      <xdr:rowOff>224676</xdr:rowOff>
    </xdr:to>
    <xdr:sp macro="" textlink="">
      <xdr:nvSpPr>
        <xdr:cNvPr id="18" name="Texto explicativo retangular com cantos arredondados 17"/>
        <xdr:cNvSpPr/>
      </xdr:nvSpPr>
      <xdr:spPr bwMode="auto">
        <a:xfrm>
          <a:off x="4258235" y="3260911"/>
          <a:ext cx="3286124" cy="1647824"/>
        </a:xfrm>
        <a:prstGeom prst="wedgeRoundRectCallout">
          <a:avLst>
            <a:gd name="adj1" fmla="val -8332"/>
            <a:gd name="adj2" fmla="val 50525"/>
            <a:gd name="adj3" fmla="val 16667"/>
          </a:avLst>
        </a:prstGeom>
        <a:solidFill>
          <a:srgbClr val="FFFF00">
            <a:alpha val="83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200" b="1" baseline="0"/>
            <a:t>This copy in .xls format is for pre-2007 versions of Excel; manual adjustment of position and size of figures may be necessary and the Titration module will not work. For any newer version of Excel, download a free copy of CurTiPot </a:t>
          </a:r>
          <a:br>
            <a:rPr lang="pt-BR" sz="1200" b="1" baseline="0"/>
          </a:br>
          <a:r>
            <a:rPr lang="pt-BR" sz="1200" b="1" baseline="0"/>
            <a:t>in .xlsm format from the author's site:</a:t>
          </a:r>
        </a:p>
        <a:p>
          <a:pPr algn="ctr"/>
          <a:r>
            <a:rPr lang="pt-BR" sz="1100" b="1"/>
            <a:t>www.iq.usp.br/gutz/Curtipot_.html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257175</xdr:colOff>
      <xdr:row>18</xdr:row>
      <xdr:rowOff>19050</xdr:rowOff>
    </xdr:from>
    <xdr:to>
      <xdr:col>0</xdr:col>
      <xdr:colOff>581025</xdr:colOff>
      <xdr:row>20</xdr:row>
      <xdr:rowOff>0</xdr:rowOff>
    </xdr:to>
    <xdr:pic>
      <xdr:nvPicPr>
        <xdr:cNvPr id="146005" name="Picture 43" descr="Curtipot_Icon"/>
        <xdr:cNvPicPr>
          <a:picLocks noChangeAspect="1" noChangeArrowheads="1"/>
        </xdr:cNvPicPr>
      </xdr:nvPicPr>
      <xdr:blipFill>
        <a:blip xmlns:r="http://schemas.openxmlformats.org/officeDocument/2006/relationships" r:embed="rId1" cstate="print"/>
        <a:srcRect/>
        <a:stretch>
          <a:fillRect/>
        </a:stretch>
      </xdr:blipFill>
      <xdr:spPr bwMode="auto">
        <a:xfrm>
          <a:off x="257175" y="3981450"/>
          <a:ext cx="323850" cy="304800"/>
        </a:xfrm>
        <a:prstGeom prst="rect">
          <a:avLst/>
        </a:prstGeom>
        <a:noFill/>
        <a:ln w="9525">
          <a:noFill/>
          <a:miter lim="800000"/>
          <a:headEnd/>
          <a:tailEnd/>
        </a:ln>
      </xdr:spPr>
    </xdr:pic>
    <xdr:clientData/>
  </xdr:twoCellAnchor>
  <xdr:twoCellAnchor>
    <xdr:from>
      <xdr:col>0</xdr:col>
      <xdr:colOff>0</xdr:colOff>
      <xdr:row>0</xdr:row>
      <xdr:rowOff>0</xdr:rowOff>
    </xdr:from>
    <xdr:to>
      <xdr:col>1</xdr:col>
      <xdr:colOff>180975</xdr:colOff>
      <xdr:row>0</xdr:row>
      <xdr:rowOff>285750</xdr:rowOff>
    </xdr:to>
    <xdr:pic>
      <xdr:nvPicPr>
        <xdr:cNvPr id="146006"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428625</xdr:colOff>
      <xdr:row>19</xdr:row>
      <xdr:rowOff>57150</xdr:rowOff>
    </xdr:from>
    <xdr:to>
      <xdr:col>1</xdr:col>
      <xdr:colOff>561975</xdr:colOff>
      <xdr:row>19</xdr:row>
      <xdr:rowOff>190500</xdr:rowOff>
    </xdr:to>
    <xdr:sp macro="" textlink="">
      <xdr:nvSpPr>
        <xdr:cNvPr id="5529736" name="Sol 40"/>
        <xdr:cNvSpPr>
          <a:spLocks noChangeArrowheads="1"/>
        </xdr:cNvSpPr>
      </xdr:nvSpPr>
      <xdr:spPr bwMode="auto">
        <a:xfrm>
          <a:off x="1409700" y="4162425"/>
          <a:ext cx="133350" cy="133350"/>
        </a:xfrm>
        <a:prstGeom prst="sun">
          <a:avLst>
            <a:gd name="adj" fmla="val 25000"/>
          </a:avLst>
        </a:prstGeom>
        <a:solidFill>
          <a:srgbClr val="FFFFFF"/>
        </a:solidFill>
        <a:ln w="9525" algn="ctr">
          <a:solidFill>
            <a:srgbClr val="000000"/>
          </a:solidFill>
          <a:round/>
          <a:headEnd/>
          <a:tailEnd/>
        </a:ln>
      </xdr:spPr>
    </xdr:sp>
    <xdr:clientData/>
  </xdr:twoCellAnchor>
  <xdr:twoCellAnchor>
    <xdr:from>
      <xdr:col>1</xdr:col>
      <xdr:colOff>552450</xdr:colOff>
      <xdr:row>19</xdr:row>
      <xdr:rowOff>57150</xdr:rowOff>
    </xdr:from>
    <xdr:to>
      <xdr:col>1</xdr:col>
      <xdr:colOff>781050</xdr:colOff>
      <xdr:row>19</xdr:row>
      <xdr:rowOff>171450</xdr:rowOff>
    </xdr:to>
    <xdr:sp macro="" textlink="">
      <xdr:nvSpPr>
        <xdr:cNvPr id="5529737" name="Seta para a esquerda e para a direita 42"/>
        <xdr:cNvSpPr>
          <a:spLocks noChangeArrowheads="1"/>
        </xdr:cNvSpPr>
      </xdr:nvSpPr>
      <xdr:spPr bwMode="auto">
        <a:xfrm>
          <a:off x="1533525" y="4162425"/>
          <a:ext cx="228600" cy="114300"/>
        </a:xfrm>
        <a:prstGeom prst="leftRightArrow">
          <a:avLst>
            <a:gd name="adj1" fmla="val 50000"/>
            <a:gd name="adj2" fmla="val 51611"/>
          </a:avLst>
        </a:prstGeom>
        <a:noFill/>
        <a:ln w="12700" algn="ctr">
          <a:solidFill>
            <a:srgbClr val="000000"/>
          </a:solidFill>
          <a:round/>
          <a:headEnd/>
          <a:tailEnd/>
        </a:ln>
      </xdr:spPr>
    </xdr:sp>
    <xdr:clientData/>
  </xdr:twoCellAnchor>
  <xdr:twoCellAnchor>
    <xdr:from>
      <xdr:col>3</xdr:col>
      <xdr:colOff>552450</xdr:colOff>
      <xdr:row>20</xdr:row>
      <xdr:rowOff>9525</xdr:rowOff>
    </xdr:from>
    <xdr:to>
      <xdr:col>3</xdr:col>
      <xdr:colOff>657225</xdr:colOff>
      <xdr:row>20</xdr:row>
      <xdr:rowOff>228600</xdr:rowOff>
    </xdr:to>
    <xdr:sp macro="" textlink="">
      <xdr:nvSpPr>
        <xdr:cNvPr id="5529738" name="Seta para a direita 43"/>
        <xdr:cNvSpPr>
          <a:spLocks noChangeArrowheads="1"/>
        </xdr:cNvSpPr>
      </xdr:nvSpPr>
      <xdr:spPr bwMode="auto">
        <a:xfrm rot="3226156">
          <a:off x="3038475" y="4410075"/>
          <a:ext cx="219075" cy="104775"/>
        </a:xfrm>
        <a:prstGeom prst="rightArrow">
          <a:avLst>
            <a:gd name="adj1" fmla="val 50000"/>
            <a:gd name="adj2" fmla="val 50443"/>
          </a:avLst>
        </a:prstGeom>
        <a:solidFill>
          <a:srgbClr val="FFFFFF"/>
        </a:solidFill>
        <a:ln w="9525" algn="ctr">
          <a:solidFill>
            <a:srgbClr val="000000"/>
          </a:solidFill>
          <a:round/>
          <a:headEnd/>
          <a:tailEnd/>
        </a:ln>
      </xdr:spPr>
    </xdr:sp>
    <xdr:clientData/>
  </xdr:twoCellAnchor>
  <xdr:twoCellAnchor>
    <xdr:from>
      <xdr:col>3</xdr:col>
      <xdr:colOff>542925</xdr:colOff>
      <xdr:row>19</xdr:row>
      <xdr:rowOff>66675</xdr:rowOff>
    </xdr:from>
    <xdr:to>
      <xdr:col>3</xdr:col>
      <xdr:colOff>762000</xdr:colOff>
      <xdr:row>19</xdr:row>
      <xdr:rowOff>161925</xdr:rowOff>
    </xdr:to>
    <xdr:sp macro="" textlink="">
      <xdr:nvSpPr>
        <xdr:cNvPr id="5529739" name="Seta para a direita 44"/>
        <xdr:cNvSpPr>
          <a:spLocks noChangeArrowheads="1"/>
        </xdr:cNvSpPr>
      </xdr:nvSpPr>
      <xdr:spPr bwMode="auto">
        <a:xfrm rot="10079123">
          <a:off x="3086100" y="4171950"/>
          <a:ext cx="219075" cy="95250"/>
        </a:xfrm>
        <a:prstGeom prst="rightArrow">
          <a:avLst>
            <a:gd name="adj1" fmla="val 50000"/>
            <a:gd name="adj2" fmla="val 54508"/>
          </a:avLst>
        </a:prstGeom>
        <a:solidFill>
          <a:srgbClr val="FFFFFF"/>
        </a:solidFill>
        <a:ln w="9525" algn="ctr">
          <a:solidFill>
            <a:srgbClr val="000000"/>
          </a:solidFill>
          <a:round/>
          <a:headEnd/>
          <a:tailEnd/>
        </a:ln>
      </xdr:spPr>
    </xdr:sp>
    <xdr:clientData/>
  </xdr:twoCellAnchor>
  <xdr:twoCellAnchor>
    <xdr:from>
      <xdr:col>5</xdr:col>
      <xdr:colOff>381000</xdr:colOff>
      <xdr:row>29</xdr:row>
      <xdr:rowOff>19050</xdr:rowOff>
    </xdr:from>
    <xdr:to>
      <xdr:col>5</xdr:col>
      <xdr:colOff>762000</xdr:colOff>
      <xdr:row>35</xdr:row>
      <xdr:rowOff>247650</xdr:rowOff>
    </xdr:to>
    <xdr:sp macro="" textlink="">
      <xdr:nvSpPr>
        <xdr:cNvPr id="5529740" name="Chave esquerda 45"/>
        <xdr:cNvSpPr>
          <a:spLocks/>
        </xdr:cNvSpPr>
      </xdr:nvSpPr>
      <xdr:spPr bwMode="auto">
        <a:xfrm>
          <a:off x="4486275" y="6505575"/>
          <a:ext cx="381000" cy="1543050"/>
        </a:xfrm>
        <a:prstGeom prst="leftBrace">
          <a:avLst>
            <a:gd name="adj1" fmla="val 79275"/>
            <a:gd name="adj2" fmla="val 50000"/>
          </a:avLst>
        </a:prstGeom>
        <a:noFill/>
        <a:ln w="19050" algn="ctr">
          <a:solidFill>
            <a:srgbClr val="7F7F7F"/>
          </a:solidFill>
          <a:prstDash val="sysDash"/>
          <a:round/>
          <a:headEnd/>
          <a:tailEnd/>
        </a:ln>
      </xdr:spPr>
    </xdr:sp>
    <xdr:clientData/>
  </xdr:twoCellAnchor>
  <xdr:twoCellAnchor>
    <xdr:from>
      <xdr:col>4</xdr:col>
      <xdr:colOff>571500</xdr:colOff>
      <xdr:row>32</xdr:row>
      <xdr:rowOff>142875</xdr:rowOff>
    </xdr:from>
    <xdr:to>
      <xdr:col>5</xdr:col>
      <xdr:colOff>381000</xdr:colOff>
      <xdr:row>34</xdr:row>
      <xdr:rowOff>76200</xdr:rowOff>
    </xdr:to>
    <xdr:cxnSp macro="">
      <xdr:nvCxnSpPr>
        <xdr:cNvPr id="5529741" name="Conector de seta reta 46"/>
        <xdr:cNvCxnSpPr>
          <a:cxnSpLocks noChangeShapeType="1"/>
          <a:stCxn id="5529740" idx="1"/>
        </xdr:cNvCxnSpPr>
      </xdr:nvCxnSpPr>
      <xdr:spPr bwMode="auto">
        <a:xfrm flipH="1">
          <a:off x="3895725" y="7277100"/>
          <a:ext cx="590550" cy="390525"/>
        </a:xfrm>
        <a:prstGeom prst="straightConnector1">
          <a:avLst/>
        </a:prstGeom>
        <a:noFill/>
        <a:ln w="19050" algn="ctr">
          <a:solidFill>
            <a:srgbClr val="7F7F7F"/>
          </a:solidFill>
          <a:prstDash val="sysDash"/>
          <a:round/>
          <a:headEnd/>
          <a:tailEnd type="arrow" w="med" len="med"/>
        </a:ln>
      </xdr:spPr>
    </xdr:cxnSp>
    <xdr:clientData/>
  </xdr:twoCellAnchor>
  <xdr:twoCellAnchor>
    <xdr:from>
      <xdr:col>1</xdr:col>
      <xdr:colOff>752475</xdr:colOff>
      <xdr:row>34</xdr:row>
      <xdr:rowOff>247650</xdr:rowOff>
    </xdr:from>
    <xdr:to>
      <xdr:col>2</xdr:col>
      <xdr:colOff>304800</xdr:colOff>
      <xdr:row>37</xdr:row>
      <xdr:rowOff>9525</xdr:rowOff>
    </xdr:to>
    <xdr:sp macro="" textlink="">
      <xdr:nvSpPr>
        <xdr:cNvPr id="5529742" name="Chave esquerda 47"/>
        <xdr:cNvSpPr>
          <a:spLocks/>
        </xdr:cNvSpPr>
      </xdr:nvSpPr>
      <xdr:spPr bwMode="auto">
        <a:xfrm flipH="1">
          <a:off x="1733550" y="7820025"/>
          <a:ext cx="333375" cy="466725"/>
        </a:xfrm>
        <a:prstGeom prst="leftBrace">
          <a:avLst>
            <a:gd name="adj1" fmla="val 23515"/>
            <a:gd name="adj2" fmla="val 45042"/>
          </a:avLst>
        </a:prstGeom>
        <a:noFill/>
        <a:ln w="19050" algn="ctr">
          <a:solidFill>
            <a:srgbClr val="7F7F7F"/>
          </a:solidFill>
          <a:prstDash val="sysDash"/>
          <a:round/>
          <a:headEnd/>
          <a:tailEnd/>
        </a:ln>
      </xdr:spPr>
    </xdr:sp>
    <xdr:clientData/>
  </xdr:twoCellAnchor>
  <xdr:twoCellAnchor>
    <xdr:from>
      <xdr:col>2</xdr:col>
      <xdr:colOff>304800</xdr:colOff>
      <xdr:row>34</xdr:row>
      <xdr:rowOff>38100</xdr:rowOff>
    </xdr:from>
    <xdr:to>
      <xdr:col>3</xdr:col>
      <xdr:colOff>228600</xdr:colOff>
      <xdr:row>35</xdr:row>
      <xdr:rowOff>209550</xdr:rowOff>
    </xdr:to>
    <xdr:cxnSp macro="">
      <xdr:nvCxnSpPr>
        <xdr:cNvPr id="5529743" name="Conector de seta reta 48"/>
        <xdr:cNvCxnSpPr>
          <a:cxnSpLocks noChangeShapeType="1"/>
          <a:stCxn id="5529742" idx="1"/>
        </xdr:cNvCxnSpPr>
      </xdr:nvCxnSpPr>
      <xdr:spPr bwMode="auto">
        <a:xfrm flipV="1">
          <a:off x="2066925" y="7629525"/>
          <a:ext cx="704850" cy="400050"/>
        </a:xfrm>
        <a:prstGeom prst="straightConnector1">
          <a:avLst/>
        </a:prstGeom>
        <a:noFill/>
        <a:ln w="19050" algn="ctr">
          <a:solidFill>
            <a:srgbClr val="7F7F7F"/>
          </a:solidFill>
          <a:prstDash val="sysDash"/>
          <a:round/>
          <a:headEnd/>
          <a:tailEnd type="arrow" w="med" len="med"/>
        </a:ln>
      </xdr:spPr>
    </xdr:cxnSp>
    <xdr:clientData/>
  </xdr:twoCellAnchor>
  <xdr:twoCellAnchor>
    <xdr:from>
      <xdr:col>4</xdr:col>
      <xdr:colOff>247650</xdr:colOff>
      <xdr:row>20</xdr:row>
      <xdr:rowOff>57150</xdr:rowOff>
    </xdr:from>
    <xdr:to>
      <xdr:col>5</xdr:col>
      <xdr:colOff>447675</xdr:colOff>
      <xdr:row>33</xdr:row>
      <xdr:rowOff>190500</xdr:rowOff>
    </xdr:to>
    <xdr:grpSp>
      <xdr:nvGrpSpPr>
        <xdr:cNvPr id="5529744" name="Grupo 11"/>
        <xdr:cNvGrpSpPr>
          <a:grpSpLocks/>
        </xdr:cNvGrpSpPr>
      </xdr:nvGrpSpPr>
      <xdr:grpSpPr bwMode="auto">
        <a:xfrm>
          <a:off x="3571875" y="4400550"/>
          <a:ext cx="981075" cy="3152775"/>
          <a:chOff x="3572369" y="4359854"/>
          <a:chExt cx="983160" cy="3144485"/>
        </a:xfrm>
      </xdr:grpSpPr>
      <xdr:sp macro="" textlink="">
        <xdr:nvSpPr>
          <xdr:cNvPr id="27" name="Elipse 26">
            <a:extLst>
              <a:ext uri="{FF2B5EF4-FFF2-40B4-BE49-F238E27FC236}"/>
            </a:extLst>
          </xdr:cNvPr>
          <xdr:cNvSpPr/>
        </xdr:nvSpPr>
        <xdr:spPr bwMode="auto">
          <a:xfrm>
            <a:off x="3572369" y="7247840"/>
            <a:ext cx="257722" cy="256499"/>
          </a:xfrm>
          <a:prstGeom prst="ellipse">
            <a:avLst/>
          </a:prstGeom>
          <a:solidFill>
            <a:schemeClr val="tx1">
              <a:lumMod val="50000"/>
              <a:lumOff val="50000"/>
              <a:alpha val="34000"/>
            </a:schemeClr>
          </a:solidFill>
          <a:ln w="19050">
            <a:solidFill>
              <a:schemeClr val="dk1">
                <a:alpha val="71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8" name="Retângulo 27">
            <a:extLst>
              <a:ext uri="{FF2B5EF4-FFF2-40B4-BE49-F238E27FC236}"/>
            </a:extLst>
          </xdr:cNvPr>
          <xdr:cNvSpPr/>
        </xdr:nvSpPr>
        <xdr:spPr bwMode="auto">
          <a:xfrm>
            <a:off x="3610550" y="5566348"/>
            <a:ext cx="171814"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9" name="Arco 28">
            <a:extLst>
              <a:ext uri="{FF2B5EF4-FFF2-40B4-BE49-F238E27FC236}"/>
            </a:extLst>
          </xdr:cNvPr>
          <xdr:cNvSpPr/>
        </xdr:nvSpPr>
        <xdr:spPr bwMode="auto">
          <a:xfrm>
            <a:off x="3686912" y="4426354"/>
            <a:ext cx="868617" cy="2089990"/>
          </a:xfrm>
          <a:prstGeom prst="arc">
            <a:avLst>
              <a:gd name="adj1" fmla="val 10058851"/>
              <a:gd name="adj2" fmla="val 16158529"/>
            </a:avLst>
          </a:prstGeom>
          <a:noFill/>
          <a:ln w="38100" cap="flat" cmpd="sng"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1" name="Retângulo 30">
            <a:extLst>
              <a:ext uri="{FF2B5EF4-FFF2-40B4-BE49-F238E27FC236}"/>
            </a:extLst>
          </xdr:cNvPr>
          <xdr:cNvSpPr/>
        </xdr:nvSpPr>
        <xdr:spPr bwMode="auto">
          <a:xfrm>
            <a:off x="3667821" y="5566348"/>
            <a:ext cx="57271"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xnSp macro="">
        <xdr:nvCxnSpPr>
          <xdr:cNvPr id="5529760" name="Conector reto 31"/>
          <xdr:cNvCxnSpPr>
            <a:cxnSpLocks noChangeShapeType="1"/>
          </xdr:cNvCxnSpPr>
        </xdr:nvCxnSpPr>
        <xdr:spPr bwMode="auto">
          <a:xfrm>
            <a:off x="3697213" y="5567762"/>
            <a:ext cx="2733" cy="1889811"/>
          </a:xfrm>
          <a:prstGeom prst="line">
            <a:avLst/>
          </a:prstGeom>
          <a:noFill/>
          <a:ln w="19050" algn="ctr">
            <a:solidFill>
              <a:srgbClr val="404040"/>
            </a:solidFill>
            <a:round/>
            <a:headEnd/>
            <a:tailEnd/>
          </a:ln>
        </xdr:spPr>
      </xdr:cxnSp>
      <xdr:cxnSp macro="">
        <xdr:nvCxnSpPr>
          <xdr:cNvPr id="5529761" name="Conector reto 32"/>
          <xdr:cNvCxnSpPr>
            <a:cxnSpLocks noChangeShapeType="1"/>
          </xdr:cNvCxnSpPr>
        </xdr:nvCxnSpPr>
        <xdr:spPr bwMode="auto">
          <a:xfrm>
            <a:off x="3640258" y="5559952"/>
            <a:ext cx="796" cy="1524044"/>
          </a:xfrm>
          <a:prstGeom prst="line">
            <a:avLst/>
          </a:prstGeom>
          <a:noFill/>
          <a:ln w="19050" algn="ctr">
            <a:solidFill>
              <a:srgbClr val="404040"/>
            </a:solidFill>
            <a:round/>
            <a:headEnd/>
            <a:tailEnd/>
          </a:ln>
        </xdr:spPr>
      </xdr:cxnSp>
      <xdr:sp macro="" textlink="">
        <xdr:nvSpPr>
          <xdr:cNvPr id="34" name="Retângulo 33">
            <a:extLst>
              <a:ext uri="{FF2B5EF4-FFF2-40B4-BE49-F238E27FC236}"/>
            </a:extLst>
          </xdr:cNvPr>
          <xdr:cNvSpPr/>
        </xdr:nvSpPr>
        <xdr:spPr bwMode="auto">
          <a:xfrm>
            <a:off x="3581914" y="5556848"/>
            <a:ext cx="229086" cy="2564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3" name="Retângulo 34"/>
          <xdr:cNvSpPr>
            <a:spLocks noChangeArrowheads="1"/>
          </xdr:cNvSpPr>
        </xdr:nvSpPr>
        <xdr:spPr bwMode="auto">
          <a:xfrm>
            <a:off x="3586360" y="7187634"/>
            <a:ext cx="45719" cy="45719"/>
          </a:xfrm>
          <a:prstGeom prst="rect">
            <a:avLst/>
          </a:prstGeom>
          <a:solidFill>
            <a:srgbClr val="BFBFBF">
              <a:alpha val="81960"/>
            </a:srgbClr>
          </a:solidFill>
          <a:ln w="9525" algn="ctr">
            <a:noFill/>
            <a:round/>
            <a:headEnd/>
            <a:tailEnd/>
          </a:ln>
        </xdr:spPr>
      </xdr:sp>
      <xdr:sp macro="" textlink="">
        <xdr:nvSpPr>
          <xdr:cNvPr id="36" name="Retângulo 35">
            <a:extLst>
              <a:ext uri="{FF2B5EF4-FFF2-40B4-BE49-F238E27FC236}"/>
            </a:extLst>
          </xdr:cNvPr>
          <xdr:cNvSpPr/>
        </xdr:nvSpPr>
        <xdr:spPr bwMode="auto">
          <a:xfrm>
            <a:off x="4106903" y="4359854"/>
            <a:ext cx="85907" cy="1329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5" name="Retângulo 39"/>
          <xdr:cNvSpPr>
            <a:spLocks noChangeArrowheads="1"/>
          </xdr:cNvSpPr>
        </xdr:nvSpPr>
        <xdr:spPr bwMode="auto">
          <a:xfrm flipV="1">
            <a:off x="3780076" y="5885622"/>
            <a:ext cx="79837" cy="66822"/>
          </a:xfrm>
          <a:prstGeom prst="rect">
            <a:avLst/>
          </a:prstGeom>
          <a:solidFill>
            <a:srgbClr val="A6A6A6">
              <a:alpha val="81960"/>
            </a:srgbClr>
          </a:solidFill>
          <a:ln w="19050" algn="ctr">
            <a:solidFill>
              <a:srgbClr val="595959"/>
            </a:solidFill>
            <a:round/>
            <a:headEnd/>
            <a:tailEnd/>
          </a:ln>
        </xdr:spPr>
      </xdr:sp>
      <xdr:sp macro="" textlink="">
        <xdr:nvSpPr>
          <xdr:cNvPr id="5529766" name="Retângulo 60"/>
          <xdr:cNvSpPr>
            <a:spLocks noChangeArrowheads="1"/>
          </xdr:cNvSpPr>
        </xdr:nvSpPr>
        <xdr:spPr bwMode="auto">
          <a:xfrm flipV="1">
            <a:off x="3765050" y="5896809"/>
            <a:ext cx="102976" cy="43895"/>
          </a:xfrm>
          <a:prstGeom prst="rect">
            <a:avLst/>
          </a:prstGeom>
          <a:solidFill>
            <a:srgbClr val="BFBFBF">
              <a:alpha val="81960"/>
            </a:srgbClr>
          </a:solidFill>
          <a:ln w="19050" algn="ctr">
            <a:noFill/>
            <a:round/>
            <a:headEnd/>
            <a:tailEnd/>
          </a:ln>
        </xdr:spPr>
      </xdr:sp>
    </xdr:grpSp>
    <xdr:clientData/>
  </xdr:twoCellAnchor>
  <xdr:twoCellAnchor>
    <xdr:from>
      <xdr:col>3</xdr:col>
      <xdr:colOff>504825</xdr:colOff>
      <xdr:row>34</xdr:row>
      <xdr:rowOff>50800</xdr:rowOff>
    </xdr:from>
    <xdr:to>
      <xdr:col>4</xdr:col>
      <xdr:colOff>231775</xdr:colOff>
      <xdr:row>34</xdr:row>
      <xdr:rowOff>203200</xdr:rowOff>
    </xdr:to>
    <xdr:sp macro="" textlink="">
      <xdr:nvSpPr>
        <xdr:cNvPr id="42" name="Retângulo 41">
          <a:extLst>
            <a:ext uri="{FF2B5EF4-FFF2-40B4-BE49-F238E27FC236}"/>
          </a:extLst>
        </xdr:cNvPr>
        <xdr:cNvSpPr/>
      </xdr:nvSpPr>
      <xdr:spPr bwMode="auto">
        <a:xfrm>
          <a:off x="3048000" y="7594600"/>
          <a:ext cx="508000" cy="152400"/>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lientData/>
  </xdr:twoCellAnchor>
  <xdr:twoCellAnchor>
    <xdr:from>
      <xdr:col>2</xdr:col>
      <xdr:colOff>200025</xdr:colOff>
      <xdr:row>10</xdr:row>
      <xdr:rowOff>180975</xdr:rowOff>
    </xdr:from>
    <xdr:to>
      <xdr:col>9</xdr:col>
      <xdr:colOff>371475</xdr:colOff>
      <xdr:row>32</xdr:row>
      <xdr:rowOff>161925</xdr:rowOff>
    </xdr:to>
    <xdr:grpSp>
      <xdr:nvGrpSpPr>
        <xdr:cNvPr id="5529746" name="Grupo 15"/>
        <xdr:cNvGrpSpPr>
          <a:grpSpLocks/>
        </xdr:cNvGrpSpPr>
      </xdr:nvGrpSpPr>
      <xdr:grpSpPr bwMode="auto">
        <a:xfrm>
          <a:off x="1962150" y="2381250"/>
          <a:ext cx="5638800" cy="4914900"/>
          <a:chOff x="1968739" y="2395835"/>
          <a:chExt cx="5659669" cy="4695878"/>
        </a:xfrm>
      </xdr:grpSpPr>
      <xdr:sp macro="" textlink="">
        <xdr:nvSpPr>
          <xdr:cNvPr id="63" name="Arco 62">
            <a:extLst>
              <a:ext uri="{FF2B5EF4-FFF2-40B4-BE49-F238E27FC236}"/>
            </a:extLst>
          </xdr:cNvPr>
          <xdr:cNvSpPr/>
        </xdr:nvSpPr>
        <xdr:spPr bwMode="auto">
          <a:xfrm flipH="1" flipV="1">
            <a:off x="2494553" y="3924726"/>
            <a:ext cx="4847048" cy="809948"/>
          </a:xfrm>
          <a:prstGeom prst="arc">
            <a:avLst>
              <a:gd name="adj1" fmla="val 277875"/>
              <a:gd name="adj2" fmla="val 8765411"/>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0" name="Arco 29">
            <a:extLst>
              <a:ext uri="{FF2B5EF4-FFF2-40B4-BE49-F238E27FC236}"/>
            </a:extLst>
          </xdr:cNvPr>
          <xdr:cNvSpPr/>
        </xdr:nvSpPr>
        <xdr:spPr bwMode="auto">
          <a:xfrm flipH="1">
            <a:off x="1968739" y="4188641"/>
            <a:ext cx="1405357" cy="2903072"/>
          </a:xfrm>
          <a:prstGeom prst="arc">
            <a:avLst>
              <a:gd name="adj1" fmla="val 7266175"/>
              <a:gd name="adj2" fmla="val 1621266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8" name="Retângulo 37">
            <a:extLst>
              <a:ext uri="{FF2B5EF4-FFF2-40B4-BE49-F238E27FC236}"/>
            </a:extLst>
          </xdr:cNvPr>
          <xdr:cNvSpPr/>
        </xdr:nvSpPr>
        <xdr:spPr bwMode="auto">
          <a:xfrm>
            <a:off x="2551914" y="4106736"/>
            <a:ext cx="200765" cy="14560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64" name="Arco 63">
            <a:extLst>
              <a:ext uri="{FF2B5EF4-FFF2-40B4-BE49-F238E27FC236}"/>
            </a:extLst>
          </xdr:cNvPr>
          <xdr:cNvSpPr/>
        </xdr:nvSpPr>
        <xdr:spPr bwMode="auto">
          <a:xfrm flipH="1" flipV="1">
            <a:off x="3603542" y="2395835"/>
            <a:ext cx="3938824" cy="1537991"/>
          </a:xfrm>
          <a:prstGeom prst="arc">
            <a:avLst>
              <a:gd name="adj1" fmla="val 10864170"/>
              <a:gd name="adj2" fmla="val 1671323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57" name="Retângulo 56">
            <a:extLst>
              <a:ext uri="{FF2B5EF4-FFF2-40B4-BE49-F238E27FC236}"/>
            </a:extLst>
          </xdr:cNvPr>
          <xdr:cNvSpPr/>
        </xdr:nvSpPr>
        <xdr:spPr bwMode="auto">
          <a:xfrm>
            <a:off x="7437203" y="3114778"/>
            <a:ext cx="191205" cy="100106"/>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grpSp>
    <xdr:clientData/>
  </xdr:twoCellAnchor>
  <xdr:twoCellAnchor>
    <xdr:from>
      <xdr:col>8</xdr:col>
      <xdr:colOff>142875</xdr:colOff>
      <xdr:row>16</xdr:row>
      <xdr:rowOff>28575</xdr:rowOff>
    </xdr:from>
    <xdr:to>
      <xdr:col>15</xdr:col>
      <xdr:colOff>752475</xdr:colOff>
      <xdr:row>37</xdr:row>
      <xdr:rowOff>123825</xdr:rowOff>
    </xdr:to>
    <xdr:grpSp>
      <xdr:nvGrpSpPr>
        <xdr:cNvPr id="5529747" name="Grupo 14"/>
        <xdr:cNvGrpSpPr>
          <a:grpSpLocks/>
        </xdr:cNvGrpSpPr>
      </xdr:nvGrpSpPr>
      <xdr:grpSpPr bwMode="auto">
        <a:xfrm>
          <a:off x="6591300" y="3371850"/>
          <a:ext cx="7667625" cy="5029200"/>
          <a:chOff x="6734248" y="3394408"/>
          <a:chExt cx="8663122" cy="4816580"/>
        </a:xfrm>
      </xdr:grpSpPr>
      <xdr:graphicFrame macro="">
        <xdr:nvGraphicFramePr>
          <xdr:cNvPr id="5529749" name="Chart 1"/>
          <xdr:cNvGraphicFramePr>
            <a:graphicFrameLocks/>
          </xdr:cNvGraphicFramePr>
        </xdr:nvGraphicFramePr>
        <xdr:xfrm>
          <a:off x="6734248" y="3394408"/>
          <a:ext cx="8663122" cy="4816580"/>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55297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14352476" y="3470177"/>
            <a:ext cx="994742" cy="263210"/>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171450</xdr:colOff>
      <xdr:row>0</xdr:row>
      <xdr:rowOff>285750</xdr:rowOff>
    </xdr:to>
    <xdr:pic>
      <xdr:nvPicPr>
        <xdr:cNvPr id="55297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142875</xdr:colOff>
      <xdr:row>20</xdr:row>
      <xdr:rowOff>66675</xdr:rowOff>
    </xdr:from>
    <xdr:to>
      <xdr:col>11</xdr:col>
      <xdr:colOff>1038225</xdr:colOff>
      <xdr:row>37</xdr:row>
      <xdr:rowOff>114300</xdr:rowOff>
    </xdr:to>
    <xdr:grpSp>
      <xdr:nvGrpSpPr>
        <xdr:cNvPr id="148447" name="Grupo 4"/>
        <xdr:cNvGrpSpPr>
          <a:grpSpLocks/>
        </xdr:cNvGrpSpPr>
      </xdr:nvGrpSpPr>
      <xdr:grpSpPr bwMode="auto">
        <a:xfrm>
          <a:off x="1819275" y="4257675"/>
          <a:ext cx="8763000" cy="4257675"/>
          <a:chOff x="1826558" y="4247029"/>
          <a:chExt cx="8796617" cy="4235823"/>
        </a:xfrm>
      </xdr:grpSpPr>
      <xdr:graphicFrame macro="">
        <xdr:nvGraphicFramePr>
          <xdr:cNvPr id="148449" name="Chart 1"/>
          <xdr:cNvGraphicFramePr>
            <a:graphicFrameLocks/>
          </xdr:cNvGraphicFramePr>
        </xdr:nvGraphicFramePr>
        <xdr:xfrm>
          <a:off x="1826558" y="4247029"/>
          <a:ext cx="8796617" cy="4235823"/>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1484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9438714" y="4336677"/>
            <a:ext cx="996203" cy="235323"/>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257175</xdr:colOff>
      <xdr:row>0</xdr:row>
      <xdr:rowOff>285750</xdr:rowOff>
    </xdr:to>
    <xdr:pic>
      <xdr:nvPicPr>
        <xdr:cNvPr id="1484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76200</xdr:rowOff>
    </xdr:from>
    <xdr:to>
      <xdr:col>7</xdr:col>
      <xdr:colOff>381000</xdr:colOff>
      <xdr:row>35</xdr:row>
      <xdr:rowOff>85725</xdr:rowOff>
    </xdr:to>
    <xdr:graphicFrame macro="">
      <xdr:nvGraphicFramePr>
        <xdr:cNvPr id="552111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105</xdr:row>
      <xdr:rowOff>123825</xdr:rowOff>
    </xdr:from>
    <xdr:to>
      <xdr:col>7</xdr:col>
      <xdr:colOff>400050</xdr:colOff>
      <xdr:row>129</xdr:row>
      <xdr:rowOff>142875</xdr:rowOff>
    </xdr:to>
    <xdr:graphicFrame macro="">
      <xdr:nvGraphicFramePr>
        <xdr:cNvPr id="552111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495300</xdr:colOff>
      <xdr:row>12</xdr:row>
      <xdr:rowOff>76200</xdr:rowOff>
    </xdr:from>
    <xdr:to>
      <xdr:col>13</xdr:col>
      <xdr:colOff>361950</xdr:colOff>
      <xdr:row>35</xdr:row>
      <xdr:rowOff>95250</xdr:rowOff>
    </xdr:to>
    <xdr:graphicFrame macro="">
      <xdr:nvGraphicFramePr>
        <xdr:cNvPr id="5521117"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523875</xdr:colOff>
      <xdr:row>105</xdr:row>
      <xdr:rowOff>133350</xdr:rowOff>
    </xdr:from>
    <xdr:to>
      <xdr:col>13</xdr:col>
      <xdr:colOff>438150</xdr:colOff>
      <xdr:row>129</xdr:row>
      <xdr:rowOff>152400</xdr:rowOff>
    </xdr:to>
    <xdr:graphicFrame macro="">
      <xdr:nvGraphicFramePr>
        <xdr:cNvPr id="5521118"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59</xdr:row>
      <xdr:rowOff>85725</xdr:rowOff>
    </xdr:from>
    <xdr:to>
      <xdr:col>7</xdr:col>
      <xdr:colOff>400050</xdr:colOff>
      <xdr:row>81</xdr:row>
      <xdr:rowOff>133350</xdr:rowOff>
    </xdr:to>
    <xdr:graphicFrame macro="">
      <xdr:nvGraphicFramePr>
        <xdr:cNvPr id="5521119"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504825</xdr:colOff>
      <xdr:row>59</xdr:row>
      <xdr:rowOff>76200</xdr:rowOff>
    </xdr:from>
    <xdr:to>
      <xdr:col>13</xdr:col>
      <xdr:colOff>400050</xdr:colOff>
      <xdr:row>81</xdr:row>
      <xdr:rowOff>123825</xdr:rowOff>
    </xdr:to>
    <xdr:graphicFrame macro="">
      <xdr:nvGraphicFramePr>
        <xdr:cNvPr id="5521120"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36</xdr:row>
      <xdr:rowOff>57150</xdr:rowOff>
    </xdr:from>
    <xdr:to>
      <xdr:col>7</xdr:col>
      <xdr:colOff>400050</xdr:colOff>
      <xdr:row>58</xdr:row>
      <xdr:rowOff>133350</xdr:rowOff>
    </xdr:to>
    <xdr:graphicFrame macro="">
      <xdr:nvGraphicFramePr>
        <xdr:cNvPr id="552112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495300</xdr:colOff>
      <xdr:row>36</xdr:row>
      <xdr:rowOff>57150</xdr:rowOff>
    </xdr:from>
    <xdr:to>
      <xdr:col>13</xdr:col>
      <xdr:colOff>381000</xdr:colOff>
      <xdr:row>58</xdr:row>
      <xdr:rowOff>142875</xdr:rowOff>
    </xdr:to>
    <xdr:graphicFrame macro="">
      <xdr:nvGraphicFramePr>
        <xdr:cNvPr id="552112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82</xdr:row>
      <xdr:rowOff>66675</xdr:rowOff>
    </xdr:from>
    <xdr:to>
      <xdr:col>7</xdr:col>
      <xdr:colOff>400050</xdr:colOff>
      <xdr:row>105</xdr:row>
      <xdr:rowOff>38100</xdr:rowOff>
    </xdr:to>
    <xdr:graphicFrame macro="">
      <xdr:nvGraphicFramePr>
        <xdr:cNvPr id="552112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514350</xdr:colOff>
      <xdr:row>82</xdr:row>
      <xdr:rowOff>66675</xdr:rowOff>
    </xdr:from>
    <xdr:to>
      <xdr:col>13</xdr:col>
      <xdr:colOff>419100</xdr:colOff>
      <xdr:row>105</xdr:row>
      <xdr:rowOff>47625</xdr:rowOff>
    </xdr:to>
    <xdr:graphicFrame macro="">
      <xdr:nvGraphicFramePr>
        <xdr:cNvPr id="5521124"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130</xdr:row>
      <xdr:rowOff>95250</xdr:rowOff>
    </xdr:from>
    <xdr:to>
      <xdr:col>7</xdr:col>
      <xdr:colOff>409575</xdr:colOff>
      <xdr:row>154</xdr:row>
      <xdr:rowOff>104775</xdr:rowOff>
    </xdr:to>
    <xdr:graphicFrame macro="">
      <xdr:nvGraphicFramePr>
        <xdr:cNvPr id="552112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7</xdr:col>
      <xdr:colOff>523875</xdr:colOff>
      <xdr:row>130</xdr:row>
      <xdr:rowOff>104775</xdr:rowOff>
    </xdr:from>
    <xdr:to>
      <xdr:col>13</xdr:col>
      <xdr:colOff>466725</xdr:colOff>
      <xdr:row>154</xdr:row>
      <xdr:rowOff>133350</xdr:rowOff>
    </xdr:to>
    <xdr:graphicFrame macro="">
      <xdr:nvGraphicFramePr>
        <xdr:cNvPr id="5521126"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0</xdr:row>
      <xdr:rowOff>0</xdr:rowOff>
    </xdr:from>
    <xdr:to>
      <xdr:col>1</xdr:col>
      <xdr:colOff>180975</xdr:colOff>
      <xdr:row>0</xdr:row>
      <xdr:rowOff>285750</xdr:rowOff>
    </xdr:to>
    <xdr:pic>
      <xdr:nvPicPr>
        <xdr:cNvPr id="5521127" name="Picture 11" descr="curtipotp"/>
        <xdr:cNvPicPr>
          <a:picLocks noChangeAspect="1" noChangeArrowheads="1"/>
        </xdr:cNvPicPr>
      </xdr:nvPicPr>
      <xdr:blipFill>
        <a:blip xmlns:r="http://schemas.openxmlformats.org/officeDocument/2006/relationships" r:embed="rId13"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6.xml><?xml version="1.0" encoding="utf-8"?>
<c:userShapes xmlns:c="http://schemas.openxmlformats.org/drawingml/2006/chart">
  <cdr:relSizeAnchor xmlns:cdr="http://schemas.openxmlformats.org/drawingml/2006/chartDrawing">
    <cdr:from>
      <cdr:x>0.533</cdr:x>
      <cdr:y>0</cdr:y>
    </cdr:from>
    <cdr:to>
      <cdr:x>0.53399</cdr:x>
      <cdr:y>0</cdr:y>
    </cdr:to>
    <cdr:sp macro="" textlink="">
      <cdr:nvSpPr>
        <cdr:cNvPr id="16385" name="Text Box 1"/>
        <cdr:cNvSpPr txBox="1">
          <a:spLocks xmlns:a="http://schemas.openxmlformats.org/drawingml/2006/main" noChangeArrowheads="1"/>
        </cdr:cNvSpPr>
      </cdr:nvSpPr>
      <cdr:spPr bwMode="auto">
        <a:xfrm xmlns:a="http://schemas.openxmlformats.org/drawingml/2006/main">
          <a:off x="3893776" y="0"/>
          <a:ext cx="1655504" cy="2638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36576" tIns="36576" rIns="0" bIns="0" anchor="b"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HiB</a:t>
          </a:r>
          <a:r>
            <a:rPr lang="pt-BR" sz="975"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0.85649</cdr:x>
      <cdr:y>0.00838</cdr:y>
    </cdr:from>
    <cdr:to>
      <cdr:x>0.96875</cdr:x>
      <cdr:y>0.0576</cdr:y>
    </cdr:to>
    <cdr:pic>
      <cdr:nvPicPr>
        <cdr:cNvPr id="2079748"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28134" y="31564"/>
          <a:ext cx="816316" cy="185318"/>
        </a:xfrm>
        <a:prstGeom xmlns:a="http://schemas.openxmlformats.org/drawingml/2006/main" prst="rect">
          <a:avLst/>
        </a:prstGeom>
        <a:noFill xmlns:a="http://schemas.openxmlformats.org/drawingml/2006/main"/>
      </cdr:spPr>
    </cdr:pic>
  </cdr:relSizeAnchor>
  <cdr:relSizeAnchor xmlns:cdr="http://schemas.openxmlformats.org/drawingml/2006/chartDrawing">
    <cdr:from>
      <cdr:x>0.59168</cdr:x>
      <cdr:y>0</cdr:y>
    </cdr:from>
    <cdr:to>
      <cdr:x>0.84015</cdr:x>
      <cdr:y>0.08752</cdr:y>
    </cdr:to>
    <cdr:sp macro="" textlink="">
      <cdr:nvSpPr>
        <cdr:cNvPr id="4" name="Text Box 1"/>
        <cdr:cNvSpPr txBox="1">
          <a:spLocks xmlns:a="http://schemas.openxmlformats.org/drawingml/2006/main" noChangeArrowheads="1"/>
        </cdr:cNvSpPr>
      </cdr:nvSpPr>
      <cdr:spPr bwMode="auto">
        <a:xfrm xmlns:a="http://schemas.openxmlformats.org/drawingml/2006/main">
          <a:off x="4303059" y="0"/>
          <a:ext cx="1807009" cy="317223"/>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wrap="square" lIns="90000" tIns="0" rIns="90000" bIns="4680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userShapes>
</file>

<file path=xl/drawings/drawing7.xml><?xml version="1.0" encoding="utf-8"?>
<c:userShapes xmlns:c="http://schemas.openxmlformats.org/drawingml/2006/chart">
  <cdr:relSizeAnchor xmlns:cdr="http://schemas.openxmlformats.org/drawingml/2006/chartDrawing">
    <cdr:from>
      <cdr:x>0.86145</cdr:x>
      <cdr:y>0.01217</cdr:y>
    </cdr:from>
    <cdr:to>
      <cdr:x>0.97346</cdr:x>
      <cdr:y>0.06046</cdr:y>
    </cdr:to>
    <cdr:pic>
      <cdr:nvPicPr>
        <cdr:cNvPr id="2080770" name="Picture 2"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3827" y="50800"/>
          <a:ext cx="814058" cy="189066"/>
        </a:xfrm>
        <a:prstGeom xmlns:a="http://schemas.openxmlformats.org/drawingml/2006/main" prst="rect">
          <a:avLst/>
        </a:prstGeom>
        <a:noFill xmlns:a="http://schemas.openxmlformats.org/drawingml/2006/main"/>
      </cdr:spPr>
    </cdr:pic>
  </cdr:relSizeAnchor>
</c:userShapes>
</file>

<file path=xl/drawings/drawing8.xml><?xml version="1.0" encoding="utf-8"?>
<c:userShapes xmlns:c="http://schemas.openxmlformats.org/drawingml/2006/chart">
  <cdr:relSizeAnchor xmlns:cdr="http://schemas.openxmlformats.org/drawingml/2006/chartDrawing">
    <cdr:from>
      <cdr:x>0.94892</cdr:x>
      <cdr:y>0.45438</cdr:y>
    </cdr:from>
    <cdr:to>
      <cdr:x>0.99598</cdr:x>
      <cdr:y>0.56067</cdr:y>
    </cdr:to>
    <cdr:sp macro="" textlink="">
      <cdr:nvSpPr>
        <cdr:cNvPr id="2081794" name="Text Box 4"/>
        <cdr:cNvSpPr txBox="1">
          <a:spLocks xmlns:a="http://schemas.openxmlformats.org/drawingml/2006/main" noChangeArrowheads="1"/>
        </cdr:cNvSpPr>
      </cdr:nvSpPr>
      <cdr:spPr bwMode="auto">
        <a:xfrm xmlns:a="http://schemas.openxmlformats.org/drawingml/2006/main">
          <a:off x="7043342" y="1772652"/>
          <a:ext cx="349302" cy="41465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0.82436</cdr:x>
      <cdr:y>0.01589</cdr:y>
    </cdr:from>
    <cdr:to>
      <cdr:x>0.9336</cdr:x>
      <cdr:y>0.06861</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23353" y="62523"/>
          <a:ext cx="811428" cy="207430"/>
        </a:xfrm>
        <a:prstGeom xmlns:a="http://schemas.openxmlformats.org/drawingml/2006/main" prst="rect">
          <a:avLst/>
        </a:prstGeom>
        <a:noFill xmlns:a="http://schemas.openxmlformats.org/drawingml/2006/main"/>
      </cdr:spPr>
    </cdr:pic>
  </cdr:relSizeAnchor>
</c:userShapes>
</file>

<file path=xl/drawings/drawing9.xml><?xml version="1.0" encoding="utf-8"?>
<c:userShapes xmlns:c="http://schemas.openxmlformats.org/drawingml/2006/chart">
  <cdr:relSizeAnchor xmlns:cdr="http://schemas.openxmlformats.org/drawingml/2006/chartDrawing">
    <cdr:from>
      <cdr:x>0.94921</cdr:x>
      <cdr:y>0.43938</cdr:y>
    </cdr:from>
    <cdr:to>
      <cdr:x>0.99921</cdr:x>
      <cdr:y>0.52887</cdr:y>
    </cdr:to>
    <cdr:sp macro="" textlink="">
      <cdr:nvSpPr>
        <cdr:cNvPr id="1955843" name="Text Box 3"/>
        <cdr:cNvSpPr txBox="1">
          <a:spLocks xmlns:a="http://schemas.openxmlformats.org/drawingml/2006/main" noChangeArrowheads="1"/>
        </cdr:cNvSpPr>
      </cdr:nvSpPr>
      <cdr:spPr bwMode="auto">
        <a:xfrm xmlns:a="http://schemas.openxmlformats.org/drawingml/2006/main">
          <a:off x="7090700" y="1779671"/>
          <a:ext cx="373506" cy="36448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0.82369</cdr:x>
      <cdr:y>0.01922</cdr:y>
    </cdr:from>
    <cdr:to>
      <cdr:x>0.92649</cdr:x>
      <cdr:y>0.06605</cdr:y>
    </cdr:to>
    <cdr:pic>
      <cdr:nvPicPr>
        <cdr:cNvPr id="2082822" name="Picture 6"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57600" y="78780"/>
          <a:ext cx="768541" cy="191941"/>
        </a:xfrm>
        <a:prstGeom xmlns:a="http://schemas.openxmlformats.org/drawingml/2006/main" prst="rect">
          <a:avLst/>
        </a:prstGeom>
        <a:noFill xmlns:a="http://schemas.openxmlformats.org/drawingml/2006/main"/>
      </cdr:spPr>
    </cdr:pic>
  </cdr:relSizeAnchor>
</c:userShapes>
</file>

<file path=xl/drawings/drawing10.xml><?xml version="1.0" encoding="utf-8"?>
<c:userShapes xmlns:c="http://schemas.openxmlformats.org/drawingml/2006/chart">
  <cdr:relSizeAnchor xmlns:cdr="http://schemas.openxmlformats.org/drawingml/2006/chartDrawing">
    <cdr:from>
      <cdr:x>0.59782</cdr:x>
      <cdr:y>0.0125</cdr:y>
    </cdr:from>
    <cdr:to>
      <cdr:x>0.84694</cdr:x>
      <cdr:y>0.10316</cdr:y>
    </cdr:to>
    <cdr:sp macro="" textlink="">
      <cdr:nvSpPr>
        <cdr:cNvPr id="150529" name="Text Box 1"/>
        <cdr:cNvSpPr txBox="1">
          <a:spLocks xmlns:a="http://schemas.openxmlformats.org/drawingml/2006/main" noChangeArrowheads="1"/>
        </cdr:cNvSpPr>
      </cdr:nvSpPr>
      <cdr:spPr bwMode="auto">
        <a:xfrm xmlns:a="http://schemas.openxmlformats.org/drawingml/2006/main">
          <a:off x="3960682" y="50800"/>
          <a:ext cx="1649099" cy="32596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90000" tIns="0" rIns="90000" bIns="46800" anchor="t"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0.86046</cdr:x>
      <cdr:y>0.01316</cdr:y>
    </cdr:from>
    <cdr:to>
      <cdr:x>0.97271</cdr:x>
      <cdr:y>0.06622</cdr:y>
    </cdr:to>
    <cdr:pic>
      <cdr:nvPicPr>
        <cdr:cNvPr id="2083843" name="Picture 3"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48413" y="50800"/>
          <a:ext cx="814768" cy="192072"/>
        </a:xfrm>
        <a:prstGeom xmlns:a="http://schemas.openxmlformats.org/drawingml/2006/main" prst="rect">
          <a:avLst/>
        </a:prstGeom>
        <a:noFill xmlns:a="http://schemas.openxmlformats.org/drawingml/2006/main"/>
      </cdr:spPr>
    </cdr:pic>
  </cdr:relSizeAnchor>
</c:userShapes>
</file>

<file path=xl/drawings/drawing11.xml><?xml version="1.0" encoding="utf-8"?>
<c:userShapes xmlns:c="http://schemas.openxmlformats.org/drawingml/2006/chart">
  <cdr:relSizeAnchor xmlns:cdr="http://schemas.openxmlformats.org/drawingml/2006/chartDrawing">
    <cdr:from>
      <cdr:x>0.95357</cdr:x>
      <cdr:y>0.45265</cdr:y>
    </cdr:from>
    <cdr:to>
      <cdr:x>0.9955</cdr:x>
      <cdr:y>0.52922</cdr:y>
    </cdr:to>
    <cdr:sp macro="" textlink="">
      <cdr:nvSpPr>
        <cdr:cNvPr id="2084868" name="Text Box 3"/>
        <cdr:cNvSpPr txBox="1">
          <a:spLocks xmlns:a="http://schemas.openxmlformats.org/drawingml/2006/main" noChangeArrowheads="1"/>
        </cdr:cNvSpPr>
      </cdr:nvSpPr>
      <cdr:spPr bwMode="auto">
        <a:xfrm xmlns:a="http://schemas.openxmlformats.org/drawingml/2006/main">
          <a:off x="7105104" y="1698959"/>
          <a:ext cx="312423" cy="28739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0.8269</cdr:x>
      <cdr:y>0.01656</cdr:y>
    </cdr:from>
    <cdr:to>
      <cdr:x>0.93572</cdr:x>
      <cdr:y>0.07133</cdr:y>
    </cdr:to>
    <cdr:pic>
      <cdr:nvPicPr>
        <cdr:cNvPr id="2084871"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65884" y="62700"/>
          <a:ext cx="811428" cy="207430"/>
        </a:xfrm>
        <a:prstGeom xmlns:a="http://schemas.openxmlformats.org/drawingml/2006/main" prst="rect">
          <a:avLst/>
        </a:prstGeom>
        <a:noFill xmlns:a="http://schemas.openxmlformats.org/drawingml/2006/main"/>
      </cdr:spPr>
    </cdr:pic>
  </cdr:relSizeAnchor>
</c:userShapes>
</file>

<file path=xl/drawings/drawing12.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3.xml><?xml version="1.0" encoding="utf-8"?>
<c:userShapes xmlns:c="http://schemas.openxmlformats.org/drawingml/2006/chart">
  <cdr:relSizeAnchor xmlns:cdr="http://schemas.openxmlformats.org/drawingml/2006/chartDrawing">
    <cdr:from>
      <cdr:x>0.95062</cdr:x>
      <cdr:y>0.45987</cdr:y>
    </cdr:from>
    <cdr:to>
      <cdr:x>0.99352</cdr:x>
      <cdr:y>0.56961</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4069" y="1743576"/>
          <a:ext cx="319242" cy="41607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0.82855</cdr:x>
      <cdr:y>0.01941</cdr:y>
    </cdr:from>
    <cdr:to>
      <cdr:x>0.9375</cdr:x>
      <cdr:y>0.07363</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70246" y="74246"/>
          <a:ext cx="811428" cy="207430"/>
        </a:xfrm>
        <a:prstGeom xmlns:a="http://schemas.openxmlformats.org/drawingml/2006/main" prst="rect">
          <a:avLst/>
        </a:prstGeom>
        <a:noFill xmlns:a="http://schemas.openxmlformats.org/drawingml/2006/main"/>
      </cdr:spPr>
    </cdr:pic>
  </cdr:relSizeAnchor>
</c:userShapes>
</file>

<file path=xl/drawings/drawing14.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5.xml><?xml version="1.0" encoding="utf-8"?>
<c:userShapes xmlns:c="http://schemas.openxmlformats.org/drawingml/2006/chart">
  <cdr:relSizeAnchor xmlns:cdr="http://schemas.openxmlformats.org/drawingml/2006/chartDrawing">
    <cdr:from>
      <cdr:x>0.94814</cdr:x>
      <cdr:y>0.4498</cdr:y>
    </cdr:from>
    <cdr:to>
      <cdr:x>1</cdr:x>
      <cdr:y>0.54157</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3676" y="1734050"/>
          <a:ext cx="386906" cy="35376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cdr:x>
      <cdr:y>0.01155</cdr:y>
    </cdr:from>
    <cdr:to>
      <cdr:x>0.93668</cdr:x>
      <cdr:y>0.06487</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81969" y="44939"/>
          <a:ext cx="811428" cy="207430"/>
        </a:xfrm>
        <a:prstGeom xmlns:a="http://schemas.openxmlformats.org/drawingml/2006/main" prst="rect">
          <a:avLst/>
        </a:prstGeom>
        <a:noFill xmlns:a="http://schemas.openxmlformats.org/drawingml/2006/main"/>
      </cdr:spPr>
    </cdr:pic>
  </cdr:relSizeAnchor>
</c:userShapes>
</file>

<file path=xl/drawings/drawing16.xml><?xml version="1.0" encoding="utf-8"?>
<c:userShapes xmlns:c="http://schemas.openxmlformats.org/drawingml/2006/chart">
  <cdr:relSizeAnchor xmlns:cdr="http://schemas.openxmlformats.org/drawingml/2006/chartDrawing">
    <cdr:from>
      <cdr:x>0.8723</cdr:x>
      <cdr:y>0.0122</cdr:y>
    </cdr:from>
    <cdr:to>
      <cdr:x>0.9706</cdr:x>
      <cdr:y>0.05643</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7.xml><?xml version="1.0" encoding="utf-8"?>
<c:userShapes xmlns:c="http://schemas.openxmlformats.org/drawingml/2006/chart">
  <cdr:relSizeAnchor xmlns:cdr="http://schemas.openxmlformats.org/drawingml/2006/chartDrawing">
    <cdr:from>
      <cdr:x>0.8355</cdr:x>
      <cdr:y>0.01528</cdr:y>
    </cdr:from>
    <cdr:to>
      <cdr:x>0.93123</cdr:x>
      <cdr:y>0.05807</cdr:y>
    </cdr:to>
    <cdr:pic>
      <cdr:nvPicPr>
        <cdr:cNvPr id="46081"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9781" y="62774"/>
          <a:ext cx="718381" cy="175790"/>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0.94118</cdr:x>
      <cdr:y>0.43332</cdr:y>
    </cdr:from>
    <cdr:to>
      <cdr:x>0.99352</cdr:x>
      <cdr:y>0.53732</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57610" y="1764129"/>
          <a:ext cx="392481" cy="4233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userShapes>
</file>

<file path=xl/drawings/drawing18.xml><?xml version="1.0" encoding="utf-8"?>
<xdr:wsDr xmlns:xdr="http://schemas.openxmlformats.org/drawingml/2006/spreadsheetDrawing" xmlns:a="http://schemas.openxmlformats.org/drawingml/2006/main">
  <xdr:twoCellAnchor>
    <xdr:from>
      <xdr:col>3</xdr:col>
      <xdr:colOff>638175</xdr:colOff>
      <xdr:row>23</xdr:row>
      <xdr:rowOff>152400</xdr:rowOff>
    </xdr:from>
    <xdr:to>
      <xdr:col>13</xdr:col>
      <xdr:colOff>742950</xdr:colOff>
      <xdr:row>43</xdr:row>
      <xdr:rowOff>142875</xdr:rowOff>
    </xdr:to>
    <xdr:graphicFrame macro="">
      <xdr:nvGraphicFramePr>
        <xdr:cNvPr id="552551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647700</xdr:colOff>
      <xdr:row>4</xdr:row>
      <xdr:rowOff>85725</xdr:rowOff>
    </xdr:from>
    <xdr:to>
      <xdr:col>13</xdr:col>
      <xdr:colOff>723900</xdr:colOff>
      <xdr:row>23</xdr:row>
      <xdr:rowOff>104775</xdr:rowOff>
    </xdr:to>
    <xdr:graphicFrame macro="">
      <xdr:nvGraphicFramePr>
        <xdr:cNvPr id="5525512"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498059</xdr:colOff>
      <xdr:row>16</xdr:row>
      <xdr:rowOff>153550</xdr:rowOff>
    </xdr:from>
    <xdr:to>
      <xdr:col>10</xdr:col>
      <xdr:colOff>405634</xdr:colOff>
      <xdr:row>20</xdr:row>
      <xdr:rowOff>109473</xdr:rowOff>
    </xdr:to>
    <xdr:sp macro="" textlink="">
      <xdr:nvSpPr>
        <xdr:cNvPr id="17442" name="Text Box 34">
          <a:extLst>
            <a:ext uri="{FF2B5EF4-FFF2-40B4-BE49-F238E27FC236}"/>
          </a:extLst>
        </xdr:cNvPr>
        <xdr:cNvSpPr txBox="1">
          <a:spLocks noChangeArrowheads="1"/>
        </xdr:cNvSpPr>
      </xdr:nvSpPr>
      <xdr:spPr bwMode="auto">
        <a:xfrm>
          <a:off x="4388655" y="3751069"/>
          <a:ext cx="2530614" cy="717923"/>
        </a:xfrm>
        <a:prstGeom prst="rect">
          <a:avLst/>
        </a:prstGeom>
        <a:solidFill>
          <a:srgbClr val="FFFFFF"/>
        </a:solidFill>
        <a:ln w="9525">
          <a:solidFill>
            <a:srgbClr val="000000"/>
          </a:solidFill>
          <a:miter lim="800000"/>
          <a:headEnd/>
          <a:tailEnd/>
        </a:ln>
        <a:effectLst/>
      </xdr:spPr>
      <xdr:txBody>
        <a:bodyPr vertOverflow="clip" wrap="square" lIns="27432" tIns="22860" rIns="0" bIns="0" anchor="t" upright="1"/>
        <a:lstStyle/>
        <a:p>
          <a:pPr algn="l" rtl="1">
            <a:defRPr sz="1000"/>
          </a:pPr>
          <a:r>
            <a:rPr lang="pt-BR" sz="1000" b="0" i="0" strike="noStrike">
              <a:solidFill>
                <a:srgbClr val="000000"/>
              </a:solidFill>
              <a:latin typeface="Arial"/>
              <a:cs typeface="Arial"/>
            </a:rPr>
            <a:t>Titration with  0.100 mol/L NaOH of  20 mL</a:t>
          </a:r>
        </a:p>
        <a:p>
          <a:pPr algn="l" rtl="1">
            <a:defRPr sz="1000"/>
          </a:pPr>
          <a:r>
            <a:rPr lang="pt-BR" sz="1000" b="0" i="0" strike="noStrike">
              <a:solidFill>
                <a:srgbClr val="000000"/>
              </a:solidFill>
              <a:latin typeface="Arial"/>
              <a:cs typeface="Arial"/>
            </a:rPr>
            <a:t>of sample containing 0.05 mol/L H3PO4 </a:t>
          </a:r>
          <a:br>
            <a:rPr lang="pt-BR" sz="1000" b="0" i="0" strike="noStrike">
              <a:solidFill>
                <a:srgbClr val="000000"/>
              </a:solidFill>
              <a:latin typeface="Arial"/>
              <a:cs typeface="Arial"/>
            </a:rPr>
          </a:br>
          <a:r>
            <a:rPr lang="pt-BR" sz="1000" b="0" i="0" strike="noStrike">
              <a:solidFill>
                <a:srgbClr val="000000"/>
              </a:solidFill>
              <a:latin typeface="Arial"/>
              <a:cs typeface="Arial"/>
            </a:rPr>
            <a:t>and 0.05 mol/L NaH2PO4 with simulated dispersion (sVol=0.05 mL and spH=0.05)</a:t>
          </a:r>
        </a:p>
      </xdr:txBody>
    </xdr:sp>
    <xdr:clientData/>
  </xdr:twoCellAnchor>
  <xdr:twoCellAnchor>
    <xdr:from>
      <xdr:col>0</xdr:col>
      <xdr:colOff>0</xdr:colOff>
      <xdr:row>0</xdr:row>
      <xdr:rowOff>0</xdr:rowOff>
    </xdr:from>
    <xdr:to>
      <xdr:col>1</xdr:col>
      <xdr:colOff>495300</xdr:colOff>
      <xdr:row>0</xdr:row>
      <xdr:rowOff>285750</xdr:rowOff>
    </xdr:to>
    <xdr:pic>
      <xdr:nvPicPr>
        <xdr:cNvPr id="5525514"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19.xml><?xml version="1.0" encoding="utf-8"?>
<c:userShapes xmlns:c="http://schemas.openxmlformats.org/drawingml/2006/chart">
  <cdr:relSizeAnchor xmlns:cdr="http://schemas.openxmlformats.org/drawingml/2006/chartDrawing">
    <cdr:from>
      <cdr:x>0.89225</cdr:x>
      <cdr:y>0</cdr:y>
    </cdr:from>
    <cdr:to>
      <cdr:x>0.92009</cdr:x>
      <cdr:y>0</cdr:y>
    </cdr:to>
    <cdr:pic>
      <cdr:nvPicPr>
        <cdr:cNvPr id="22529"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97058" y="42720"/>
          <a:ext cx="740833" cy="196609"/>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0.86971</cdr:x>
      <cdr:y>0.0087</cdr:y>
    </cdr:from>
    <cdr:to>
      <cdr:x>0.96058</cdr:x>
      <cdr:y>0.06019</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59823" y="33617"/>
          <a:ext cx="601806" cy="198906"/>
        </a:xfrm>
        <a:prstGeom xmlns:a="http://schemas.openxmlformats.org/drawingml/2006/main" prst="rect">
          <a:avLst/>
        </a:prstGeom>
        <a:noFill xmlns:a="http://schemas.openxmlformats.org/drawingml/2006/main"/>
      </cdr:spPr>
    </cdr:pic>
  </cdr:relSizeAnchor>
</c:userShapes>
</file>

<file path=xl/drawings/drawing20.xml><?xml version="1.0" encoding="utf-8"?>
<c:userShapes xmlns:c="http://schemas.openxmlformats.org/drawingml/2006/chart">
  <cdr:relSizeAnchor xmlns:cdr="http://schemas.openxmlformats.org/drawingml/2006/chartDrawing">
    <cdr:from>
      <cdr:x>0.876</cdr:x>
      <cdr:y>0</cdr:y>
    </cdr:from>
    <cdr:to>
      <cdr:x>0.89078</cdr:x>
      <cdr:y>0</cdr:y>
    </cdr:to>
    <cdr:pic>
      <cdr:nvPicPr>
        <cdr:cNvPr id="55297"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80688" y="35999"/>
          <a:ext cx="704288" cy="183352"/>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0.87367</cdr:x>
      <cdr:y>0.00816</cdr:y>
    </cdr:from>
    <cdr:to>
      <cdr:x>0.95916</cdr:x>
      <cdr:y>0.0634</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66454" y="30151"/>
          <a:ext cx="564257" cy="204089"/>
        </a:xfrm>
        <a:prstGeom xmlns:a="http://schemas.openxmlformats.org/drawingml/2006/main" prst="rect">
          <a:avLst/>
        </a:prstGeom>
        <a:noFill xmlns:a="http://schemas.openxmlformats.org/drawingml/2006/main"/>
      </cdr:spPr>
    </cdr:pic>
  </cdr:relSizeAnchor>
</c:userShapes>
</file>

<file path=xl/drawings/drawing21.xml><?xml version="1.0" encoding="utf-8"?>
<xdr:wsDr xmlns:xdr="http://schemas.openxmlformats.org/drawingml/2006/spreadsheetDrawing" xmlns:a="http://schemas.openxmlformats.org/drawingml/2006/main">
  <xdr:twoCellAnchor>
    <xdr:from>
      <xdr:col>0</xdr:col>
      <xdr:colOff>0</xdr:colOff>
      <xdr:row>22</xdr:row>
      <xdr:rowOff>9525</xdr:rowOff>
    </xdr:from>
    <xdr:to>
      <xdr:col>7</xdr:col>
      <xdr:colOff>1162050</xdr:colOff>
      <xdr:row>37</xdr:row>
      <xdr:rowOff>9525</xdr:rowOff>
    </xdr:to>
    <xdr:graphicFrame macro="">
      <xdr:nvGraphicFramePr>
        <xdr:cNvPr id="553836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1266825</xdr:colOff>
      <xdr:row>20</xdr:row>
      <xdr:rowOff>95250</xdr:rowOff>
    </xdr:from>
    <xdr:to>
      <xdr:col>12</xdr:col>
      <xdr:colOff>1028700</xdr:colOff>
      <xdr:row>28</xdr:row>
      <xdr:rowOff>76200</xdr:rowOff>
    </xdr:to>
    <xdr:graphicFrame macro="">
      <xdr:nvGraphicFramePr>
        <xdr:cNvPr id="5538366"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1266825</xdr:colOff>
      <xdr:row>28</xdr:row>
      <xdr:rowOff>47625</xdr:rowOff>
    </xdr:from>
    <xdr:to>
      <xdr:col>12</xdr:col>
      <xdr:colOff>1028700</xdr:colOff>
      <xdr:row>37</xdr:row>
      <xdr:rowOff>19050</xdr:rowOff>
    </xdr:to>
    <xdr:graphicFrame macro="">
      <xdr:nvGraphicFramePr>
        <xdr:cNvPr id="5538367" name="Chart 280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0</xdr:row>
      <xdr:rowOff>0</xdr:rowOff>
    </xdr:from>
    <xdr:to>
      <xdr:col>1</xdr:col>
      <xdr:colOff>238125</xdr:colOff>
      <xdr:row>0</xdr:row>
      <xdr:rowOff>285750</xdr:rowOff>
    </xdr:to>
    <xdr:pic>
      <xdr:nvPicPr>
        <xdr:cNvPr id="5538368" name="Picture 11" descr="curtipotp"/>
        <xdr:cNvPicPr>
          <a:picLocks noChangeAspect="1" noChangeArrowheads="1"/>
        </xdr:cNvPicPr>
      </xdr:nvPicPr>
      <xdr:blipFill>
        <a:blip xmlns:r="http://schemas.openxmlformats.org/officeDocument/2006/relationships" r:embed="rId4"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22.xml><?xml version="1.0" encoding="utf-8"?>
<c:userShapes xmlns:c="http://schemas.openxmlformats.org/drawingml/2006/chart">
  <cdr:relSizeAnchor xmlns:cdr="http://schemas.openxmlformats.org/drawingml/2006/chartDrawing">
    <cdr:from>
      <cdr:x>0.87309</cdr:x>
      <cdr:y>0.00544</cdr:y>
    </cdr:from>
    <cdr:to>
      <cdr:x>0.97559</cdr:x>
      <cdr:y>0.05207</cdr:y>
    </cdr:to>
    <cdr:pic>
      <cdr:nvPicPr>
        <cdr:cNvPr id="2087937" name="Picture 1"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902452" y="20416"/>
          <a:ext cx="810339" cy="174920"/>
        </a:xfrm>
        <a:prstGeom xmlns:a="http://schemas.openxmlformats.org/drawingml/2006/main" prst="rect">
          <a:avLst/>
        </a:prstGeom>
        <a:noFill xmlns:a="http://schemas.openxmlformats.org/drawingml/2006/main"/>
      </cdr:spPr>
    </cdr:pic>
  </cdr:relSizeAnchor>
</c:userShapes>
</file>

<file path=xl/drawings/drawing23.xml><?xml version="1.0" encoding="utf-8"?>
<xdr:wsDr xmlns:xdr="http://schemas.openxmlformats.org/drawingml/2006/spreadsheetDrawing" xmlns:a="http://schemas.openxmlformats.org/drawingml/2006/main">
  <xdr:twoCellAnchor>
    <xdr:from>
      <xdr:col>0</xdr:col>
      <xdr:colOff>0</xdr:colOff>
      <xdr:row>7</xdr:row>
      <xdr:rowOff>104775</xdr:rowOff>
    </xdr:from>
    <xdr:to>
      <xdr:col>14</xdr:col>
      <xdr:colOff>95250</xdr:colOff>
      <xdr:row>38</xdr:row>
      <xdr:rowOff>57150</xdr:rowOff>
    </xdr:to>
    <xdr:graphicFrame macro="">
      <xdr:nvGraphicFramePr>
        <xdr:cNvPr id="5497" name="Chart 7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47625</xdr:colOff>
      <xdr:row>19</xdr:row>
      <xdr:rowOff>28575</xdr:rowOff>
    </xdr:from>
    <xdr:to>
      <xdr:col>13</xdr:col>
      <xdr:colOff>161925</xdr:colOff>
      <xdr:row>19</xdr:row>
      <xdr:rowOff>66675</xdr:rowOff>
    </xdr:to>
    <xdr:sp macro="" textlink="">
      <xdr:nvSpPr>
        <xdr:cNvPr id="5498" name="Retângulo 5"/>
        <xdr:cNvSpPr>
          <a:spLocks noChangeArrowheads="1"/>
        </xdr:cNvSpPr>
      </xdr:nvSpPr>
      <xdr:spPr bwMode="auto">
        <a:xfrm>
          <a:off x="9191625" y="3533775"/>
          <a:ext cx="114300" cy="38100"/>
        </a:xfrm>
        <a:prstGeom prst="rect">
          <a:avLst/>
        </a:prstGeom>
        <a:solidFill>
          <a:srgbClr val="FFFFFF"/>
        </a:solidFill>
        <a:ln w="9525" algn="ctr">
          <a:noFill/>
          <a:round/>
          <a:headEnd/>
          <a:tailEnd/>
        </a:ln>
      </xdr:spPr>
    </xdr:sp>
    <xdr:clientData/>
  </xdr:twoCellAnchor>
  <xdr:twoCellAnchor>
    <xdr:from>
      <xdr:col>0</xdr:col>
      <xdr:colOff>0</xdr:colOff>
      <xdr:row>0</xdr:row>
      <xdr:rowOff>0</xdr:rowOff>
    </xdr:from>
    <xdr:to>
      <xdr:col>1</xdr:col>
      <xdr:colOff>409575</xdr:colOff>
      <xdr:row>0</xdr:row>
      <xdr:rowOff>285750</xdr:rowOff>
    </xdr:to>
    <xdr:pic>
      <xdr:nvPicPr>
        <xdr:cNvPr id="5499"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24.xml><?xml version="1.0" encoding="utf-8"?>
<c:userShapes xmlns:c="http://schemas.openxmlformats.org/drawingml/2006/chart">
  <cdr:relSizeAnchor xmlns:cdr="http://schemas.openxmlformats.org/drawingml/2006/chartDrawing">
    <cdr:from>
      <cdr:x>0.85655</cdr:x>
      <cdr:y>0.0071</cdr:y>
    </cdr:from>
    <cdr:to>
      <cdr:x>0.96967</cdr:x>
      <cdr:y>0.06455</cdr:y>
    </cdr:to>
    <cdr:pic>
      <cdr:nvPicPr>
        <cdr:cNvPr id="113665" name="Picture 1025"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8232297" y="35450"/>
          <a:ext cx="1087192" cy="286886"/>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0.92417</cdr:x>
      <cdr:y>0.3735</cdr:y>
    </cdr:from>
    <cdr:to>
      <cdr:x>0.92985</cdr:x>
      <cdr:y>0.3735</cdr:y>
    </cdr:to>
    <cdr:sp macro="" textlink="">
      <cdr:nvSpPr>
        <cdr:cNvPr id="113666" name="Text Box 1026"/>
        <cdr:cNvSpPr txBox="1">
          <a:spLocks xmlns:a="http://schemas.openxmlformats.org/drawingml/2006/main" noChangeArrowheads="1"/>
        </cdr:cNvSpPr>
      </cdr:nvSpPr>
      <cdr:spPr bwMode="auto">
        <a:xfrm xmlns:a="http://schemas.openxmlformats.org/drawingml/2006/main">
          <a:off x="8496300" y="1877546"/>
          <a:ext cx="336702" cy="81511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vert270" wrap="square" lIns="36576" tIns="36576" rIns="0" bIns="0" anchor="t" upright="1"/>
        <a:lstStyle xmlns:a="http://schemas.openxmlformats.org/drawingml/2006/main"/>
        <a:p xmlns:a="http://schemas.openxmlformats.org/drawingml/2006/main">
          <a:pPr algn="r" rtl="0">
            <a:defRPr sz="1000"/>
          </a:pPr>
          <a:r>
            <a:rPr lang="pt-BR" sz="1575" b="0" i="0" strike="noStrike">
              <a:solidFill>
                <a:srgbClr val="000000"/>
              </a:solidFill>
              <a:latin typeface="Symbol"/>
            </a:rPr>
            <a:t>D</a:t>
          </a:r>
          <a:r>
            <a:rPr lang="pt-BR" sz="1575" b="0" i="0" strike="noStrike">
              <a:solidFill>
                <a:srgbClr val="000000"/>
              </a:solidFill>
              <a:latin typeface="Arial"/>
              <a:cs typeface="Arial"/>
            </a:rPr>
            <a:t>pH/</a:t>
          </a:r>
          <a:r>
            <a:rPr lang="pt-BR" sz="1575" b="0" i="0" strike="noStrike">
              <a:solidFill>
                <a:srgbClr val="000000"/>
              </a:solidFill>
              <a:latin typeface="Symbol"/>
            </a:rPr>
            <a:t>D</a:t>
          </a:r>
          <a:r>
            <a:rPr lang="pt-BR" sz="1575" b="0" i="0" strike="noStrike">
              <a:solidFill>
                <a:srgbClr val="000000"/>
              </a:solidFill>
              <a:latin typeface="Arial"/>
              <a:cs typeface="Arial"/>
            </a:rPr>
            <a:t>V</a:t>
          </a:r>
        </a:p>
        <a:p xmlns:a="http://schemas.openxmlformats.org/drawingml/2006/main">
          <a:pPr algn="r" rtl="0">
            <a:defRPr sz="1000"/>
          </a:pPr>
          <a:endParaRPr lang="pt-BR" sz="1575" b="0" i="0" strike="noStrike">
            <a:solidFill>
              <a:srgbClr val="000000"/>
            </a:solidFill>
            <a:latin typeface="Arial"/>
            <a:cs typeface="Arial"/>
          </a:endParaRPr>
        </a:p>
      </cdr:txBody>
    </cdr:sp>
  </cdr:relSizeAnchor>
</c:userShapes>
</file>

<file path=xl/drawings/drawing25.xml><?xml version="1.0" encoding="utf-8"?>
<xdr:wsDr xmlns:xdr="http://schemas.openxmlformats.org/drawingml/2006/spreadsheetDrawing" xmlns:a="http://schemas.openxmlformats.org/drawingml/2006/main">
  <xdr:twoCellAnchor editAs="oneCell">
    <xdr:from>
      <xdr:col>5</xdr:col>
      <xdr:colOff>666750</xdr:colOff>
      <xdr:row>15</xdr:row>
      <xdr:rowOff>66675</xdr:rowOff>
    </xdr:from>
    <xdr:to>
      <xdr:col>8</xdr:col>
      <xdr:colOff>333375</xdr:colOff>
      <xdr:row>17</xdr:row>
      <xdr:rowOff>142875</xdr:rowOff>
    </xdr:to>
    <xdr:pic>
      <xdr:nvPicPr>
        <xdr:cNvPr id="1926264" name="Picture 9" descr="davies_eq"/>
        <xdr:cNvPicPr>
          <a:picLocks noChangeAspect="1" noChangeArrowheads="1"/>
        </xdr:cNvPicPr>
      </xdr:nvPicPr>
      <xdr:blipFill>
        <a:blip xmlns:r="http://schemas.openxmlformats.org/officeDocument/2006/relationships" r:embed="rId1" cstate="print">
          <a:lum bright="-10000" contrast="22000"/>
        </a:blip>
        <a:srcRect/>
        <a:stretch>
          <a:fillRect/>
        </a:stretch>
      </xdr:blipFill>
      <xdr:spPr bwMode="auto">
        <a:xfrm>
          <a:off x="4381500" y="3324225"/>
          <a:ext cx="2209800" cy="495300"/>
        </a:xfrm>
        <a:prstGeom prst="rect">
          <a:avLst/>
        </a:prstGeom>
        <a:noFill/>
        <a:ln w="9525">
          <a:noFill/>
          <a:miter lim="800000"/>
          <a:headEnd/>
          <a:tailEnd/>
        </a:ln>
      </xdr:spPr>
    </xdr:pic>
    <xdr:clientData/>
  </xdr:twoCellAnchor>
  <xdr:twoCellAnchor editAs="oneCell">
    <xdr:from>
      <xdr:col>10</xdr:col>
      <xdr:colOff>104775</xdr:colOff>
      <xdr:row>15</xdr:row>
      <xdr:rowOff>123825</xdr:rowOff>
    </xdr:from>
    <xdr:to>
      <xdr:col>11</xdr:col>
      <xdr:colOff>361950</xdr:colOff>
      <xdr:row>17</xdr:row>
      <xdr:rowOff>95250</xdr:rowOff>
    </xdr:to>
    <xdr:pic>
      <xdr:nvPicPr>
        <xdr:cNvPr id="1926265" name="Picture 10" descr="IonicStrength"/>
        <xdr:cNvPicPr>
          <a:picLocks noChangeAspect="1" noChangeArrowheads="1"/>
        </xdr:cNvPicPr>
      </xdr:nvPicPr>
      <xdr:blipFill>
        <a:blip xmlns:r="http://schemas.openxmlformats.org/officeDocument/2006/relationships" r:embed="rId2" cstate="print"/>
        <a:srcRect/>
        <a:stretch>
          <a:fillRect/>
        </a:stretch>
      </xdr:blipFill>
      <xdr:spPr bwMode="auto">
        <a:xfrm>
          <a:off x="8058150" y="3381375"/>
          <a:ext cx="1104900" cy="390525"/>
        </a:xfrm>
        <a:prstGeom prst="rect">
          <a:avLst/>
        </a:prstGeom>
        <a:noFill/>
        <a:ln w="9525">
          <a:noFill/>
          <a:miter lim="800000"/>
          <a:headEnd/>
          <a:tailEnd/>
        </a:ln>
      </xdr:spPr>
    </xdr:pic>
    <xdr:clientData/>
  </xdr:twoCellAnchor>
  <xdr:twoCellAnchor>
    <xdr:from>
      <xdr:col>0</xdr:col>
      <xdr:colOff>0</xdr:colOff>
      <xdr:row>0</xdr:row>
      <xdr:rowOff>0</xdr:rowOff>
    </xdr:from>
    <xdr:to>
      <xdr:col>2</xdr:col>
      <xdr:colOff>504825</xdr:colOff>
      <xdr:row>0</xdr:row>
      <xdr:rowOff>285750</xdr:rowOff>
    </xdr:to>
    <xdr:pic>
      <xdr:nvPicPr>
        <xdr:cNvPr id="1926266"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8.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1.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7.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zirchrom.com/organic.htm" TargetMode="External"/><Relationship Id="rId1" Type="http://schemas.openxmlformats.org/officeDocument/2006/relationships/hyperlink" Target="http://research.chem.psu.edu/brpgroup/pKa_compilation.pdf" TargetMode="External"/><Relationship Id="rId6" Type="http://schemas.openxmlformats.org/officeDocument/2006/relationships/comments" Target="../comments9.xml"/><Relationship Id="rId5" Type="http://schemas.openxmlformats.org/officeDocument/2006/relationships/vmlDrawing" Target="../drawings/vmlDrawing9.vml"/><Relationship Id="rId4"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sheetPr codeName="Plan9"/>
  <dimension ref="A1:AV52"/>
  <sheetViews>
    <sheetView zoomScale="85" zoomScaleNormal="85" workbookViewId="0"/>
  </sheetViews>
  <sheetFormatPr defaultRowHeight="12.75"/>
  <cols>
    <col min="1" max="17" width="8.7109375" customWidth="1"/>
    <col min="18" max="37" width="10.28515625" customWidth="1"/>
  </cols>
  <sheetData>
    <row r="1" spans="1:48" s="14" customFormat="1" ht="33" customHeight="1">
      <c r="A1" s="8"/>
      <c r="B1" s="21"/>
      <c r="C1" s="8"/>
      <c r="D1" s="8"/>
      <c r="E1" s="8"/>
      <c r="F1" s="8"/>
      <c r="G1" s="8"/>
      <c r="H1" s="8"/>
      <c r="I1" s="8"/>
      <c r="J1" s="8"/>
      <c r="K1" s="8"/>
      <c r="L1" s="8"/>
      <c r="M1" s="8"/>
      <c r="N1" s="8"/>
      <c r="O1" s="11"/>
      <c r="P1" s="11"/>
      <c r="Q1" s="26"/>
      <c r="R1" s="1113" t="s">
        <v>766</v>
      </c>
      <c r="S1" s="26"/>
      <c r="T1" s="26"/>
      <c r="U1" s="26"/>
      <c r="V1" s="326"/>
      <c r="W1" s="326"/>
      <c r="X1" s="326"/>
      <c r="Y1" s="327"/>
      <c r="Z1" s="26"/>
      <c r="AA1" s="26"/>
      <c r="AB1" s="26"/>
      <c r="AC1" s="26"/>
      <c r="AD1" s="26"/>
      <c r="AE1" s="26"/>
      <c r="AF1" s="26"/>
      <c r="AG1" s="26"/>
      <c r="AH1" s="328"/>
      <c r="AI1" s="328"/>
      <c r="AJ1" s="328"/>
      <c r="AK1" s="328"/>
      <c r="AL1" s="186"/>
      <c r="AM1" s="186"/>
      <c r="AN1" s="186"/>
      <c r="AO1" s="186"/>
      <c r="AP1" s="186"/>
      <c r="AQ1" s="186"/>
      <c r="AR1" s="186"/>
      <c r="AS1" s="186"/>
      <c r="AT1" s="186"/>
      <c r="AU1" s="186"/>
      <c r="AV1" s="186"/>
    </row>
    <row r="2" spans="1:48" s="14" customFormat="1" ht="27" customHeight="1">
      <c r="A2" s="8"/>
      <c r="B2" s="8"/>
      <c r="C2" s="8"/>
      <c r="D2" s="8"/>
      <c r="E2" s="8"/>
      <c r="F2" s="8"/>
      <c r="G2" s="8"/>
      <c r="H2" s="8"/>
      <c r="I2" s="8"/>
      <c r="J2" s="8"/>
      <c r="K2" s="8"/>
      <c r="L2" s="8"/>
      <c r="M2" s="8"/>
      <c r="N2" s="8"/>
      <c r="O2" s="11"/>
      <c r="P2" s="11"/>
      <c r="Q2" s="556"/>
      <c r="R2" s="1114" t="s">
        <v>764</v>
      </c>
      <c r="S2" s="26"/>
      <c r="T2" s="26"/>
      <c r="U2" s="26"/>
      <c r="V2" s="26"/>
      <c r="W2" s="26"/>
      <c r="X2" s="26"/>
      <c r="Y2" s="26"/>
      <c r="Z2" s="26"/>
      <c r="AA2" s="26"/>
      <c r="AB2" s="26"/>
      <c r="AC2" s="26"/>
      <c r="AD2" s="26"/>
      <c r="AE2" s="26"/>
      <c r="AF2" s="26"/>
      <c r="AG2" s="26"/>
      <c r="AH2" s="328"/>
      <c r="AI2" s="328"/>
      <c r="AJ2" s="328"/>
      <c r="AK2" s="328"/>
      <c r="AL2" s="186"/>
      <c r="AM2" s="186"/>
      <c r="AN2" s="186"/>
      <c r="AO2" s="186"/>
      <c r="AP2" s="186"/>
      <c r="AQ2" s="186"/>
      <c r="AR2" s="186"/>
      <c r="AS2" s="186"/>
      <c r="AT2" s="186"/>
      <c r="AU2" s="186"/>
      <c r="AV2" s="186"/>
    </row>
    <row r="3" spans="1:48" ht="21.95" customHeight="1">
      <c r="A3" s="8"/>
      <c r="B3" s="8"/>
      <c r="C3" s="8"/>
      <c r="D3" s="8"/>
      <c r="E3" s="8"/>
      <c r="F3" s="8"/>
      <c r="G3" s="8"/>
      <c r="H3" s="8"/>
      <c r="I3" s="8"/>
      <c r="J3" s="8"/>
      <c r="K3" s="8"/>
      <c r="L3" s="8"/>
      <c r="M3" s="8"/>
      <c r="N3" s="8"/>
      <c r="O3" s="11"/>
      <c r="P3" s="11"/>
      <c r="Q3" s="26"/>
      <c r="R3" s="1114" t="s">
        <v>947</v>
      </c>
      <c r="S3" s="26"/>
      <c r="T3" s="329"/>
      <c r="U3" s="329"/>
      <c r="V3" s="329"/>
      <c r="W3" s="329"/>
      <c r="X3" s="329"/>
      <c r="Y3" s="329"/>
      <c r="Z3" s="329"/>
      <c r="AA3" s="329"/>
      <c r="AB3" s="329"/>
      <c r="AC3" s="329"/>
      <c r="AD3" s="329"/>
      <c r="AE3" s="329"/>
      <c r="AF3" s="329"/>
      <c r="AG3" s="329"/>
      <c r="AH3" s="328"/>
      <c r="AI3" s="328"/>
      <c r="AJ3" s="328"/>
      <c r="AK3" s="328"/>
      <c r="AL3" s="186"/>
      <c r="AM3" s="186"/>
      <c r="AN3" s="186"/>
      <c r="AO3" s="186"/>
      <c r="AP3" s="186"/>
      <c r="AQ3" s="186"/>
      <c r="AR3" s="186"/>
      <c r="AS3" s="186"/>
      <c r="AT3" s="186"/>
      <c r="AU3" s="186"/>
      <c r="AV3" s="186"/>
    </row>
    <row r="4" spans="1:48" ht="21.95" customHeight="1">
      <c r="A4" s="8"/>
      <c r="B4" s="8"/>
      <c r="C4" s="8"/>
      <c r="D4" s="8"/>
      <c r="E4" s="8"/>
      <c r="F4" s="8"/>
      <c r="G4" s="8"/>
      <c r="H4" s="8"/>
      <c r="I4" s="8"/>
      <c r="J4" s="8"/>
      <c r="K4" s="8"/>
      <c r="L4" s="8"/>
      <c r="M4" s="8"/>
      <c r="N4" s="8"/>
      <c r="O4" s="11"/>
      <c r="P4" s="11"/>
      <c r="Q4" s="556"/>
      <c r="R4" s="1115" t="s">
        <v>867</v>
      </c>
      <c r="S4" s="556"/>
      <c r="T4" s="329"/>
      <c r="U4" s="329"/>
      <c r="V4" s="329"/>
      <c r="W4" s="329"/>
      <c r="X4" s="329"/>
      <c r="Y4" s="329"/>
      <c r="Z4" s="329"/>
      <c r="AA4" s="329"/>
      <c r="AB4" s="329"/>
      <c r="AC4" s="329"/>
      <c r="AD4" s="329"/>
      <c r="AE4" s="329"/>
      <c r="AF4" s="329"/>
      <c r="AG4" s="329"/>
      <c r="AH4" s="328"/>
      <c r="AI4" s="328"/>
      <c r="AJ4" s="328"/>
      <c r="AK4" s="328"/>
      <c r="AL4" s="186"/>
      <c r="AM4" s="186"/>
      <c r="AN4" s="186"/>
      <c r="AO4" s="186"/>
      <c r="AP4" s="186"/>
      <c r="AQ4" s="186"/>
      <c r="AR4" s="186"/>
      <c r="AS4" s="186"/>
      <c r="AT4" s="186"/>
      <c r="AU4" s="186"/>
      <c r="AV4" s="186"/>
    </row>
    <row r="5" spans="1:48" ht="21.95" customHeight="1">
      <c r="A5" s="8"/>
      <c r="B5" s="8"/>
      <c r="C5" s="8"/>
      <c r="D5" s="8"/>
      <c r="E5" s="8"/>
      <c r="F5" s="8"/>
      <c r="G5" s="8"/>
      <c r="H5" s="8"/>
      <c r="I5" s="8"/>
      <c r="J5" s="8"/>
      <c r="K5" s="8"/>
      <c r="L5" s="8"/>
      <c r="M5" s="8"/>
      <c r="N5" s="8"/>
      <c r="O5" s="11"/>
      <c r="P5" s="11"/>
      <c r="Q5" s="556"/>
      <c r="R5" s="1115" t="s">
        <v>936</v>
      </c>
      <c r="S5" s="556"/>
      <c r="T5" s="329"/>
      <c r="U5" s="329"/>
      <c r="V5" s="329"/>
      <c r="W5" s="329"/>
      <c r="X5" s="329"/>
      <c r="Y5" s="329"/>
      <c r="Z5" s="329"/>
      <c r="AA5" s="329"/>
      <c r="AB5" s="329"/>
      <c r="AC5" s="329"/>
      <c r="AD5" s="329"/>
      <c r="AE5" s="329"/>
      <c r="AF5" s="329"/>
      <c r="AG5" s="329"/>
      <c r="AH5" s="328"/>
      <c r="AI5" s="328"/>
      <c r="AJ5" s="328"/>
      <c r="AK5" s="328"/>
      <c r="AL5" s="186"/>
      <c r="AM5" s="186"/>
      <c r="AN5" s="186"/>
      <c r="AO5" s="186"/>
      <c r="AP5" s="186"/>
      <c r="AQ5" s="186"/>
      <c r="AR5" s="186"/>
      <c r="AS5" s="186"/>
      <c r="AT5" s="186"/>
      <c r="AU5" s="186"/>
      <c r="AV5" s="186"/>
    </row>
    <row r="6" spans="1:48" ht="21.95" customHeight="1">
      <c r="A6" s="8"/>
      <c r="B6" s="8"/>
      <c r="C6" s="8"/>
      <c r="D6" s="8"/>
      <c r="E6" s="8"/>
      <c r="F6" s="8"/>
      <c r="G6" s="8"/>
      <c r="H6" s="8"/>
      <c r="I6" s="8"/>
      <c r="J6" s="8"/>
      <c r="K6" s="8"/>
      <c r="L6" s="8"/>
      <c r="M6" s="8"/>
      <c r="N6" s="8"/>
      <c r="O6" s="11"/>
      <c r="P6" s="11"/>
      <c r="Q6" s="556"/>
      <c r="R6" s="1114" t="s">
        <v>937</v>
      </c>
      <c r="S6" s="556"/>
      <c r="T6" s="329"/>
      <c r="U6" s="329"/>
      <c r="V6" s="329"/>
      <c r="W6" s="329"/>
      <c r="X6" s="329"/>
      <c r="Y6" s="329"/>
      <c r="Z6" s="329"/>
      <c r="AA6" s="329"/>
      <c r="AB6" s="329"/>
      <c r="AC6" s="329"/>
      <c r="AD6" s="329"/>
      <c r="AE6" s="329"/>
      <c r="AF6" s="329"/>
      <c r="AG6" s="328"/>
      <c r="AH6" s="328"/>
      <c r="AI6" s="328"/>
      <c r="AJ6" s="328"/>
      <c r="AK6" s="328"/>
      <c r="AL6" s="186"/>
      <c r="AM6" s="186"/>
      <c r="AN6" s="186"/>
      <c r="AO6" s="186"/>
      <c r="AP6" s="186"/>
      <c r="AQ6" s="186"/>
      <c r="AR6" s="186"/>
      <c r="AS6" s="186"/>
      <c r="AT6" s="186"/>
      <c r="AU6" s="186"/>
      <c r="AV6" s="186"/>
    </row>
    <row r="7" spans="1:48" ht="21.95" customHeight="1">
      <c r="A7" s="8"/>
      <c r="B7" s="8"/>
      <c r="C7" s="8"/>
      <c r="D7" s="8"/>
      <c r="E7" s="8"/>
      <c r="F7" s="8"/>
      <c r="G7" s="8"/>
      <c r="H7" s="8"/>
      <c r="I7" s="8"/>
      <c r="J7" s="8"/>
      <c r="K7" s="8"/>
      <c r="L7" s="8"/>
      <c r="M7" s="8"/>
      <c r="N7" s="8"/>
      <c r="O7" s="11"/>
      <c r="P7" s="11"/>
      <c r="Q7" s="556"/>
      <c r="R7" s="1114" t="s">
        <v>868</v>
      </c>
      <c r="S7" s="556"/>
      <c r="T7" s="329"/>
      <c r="U7" s="329"/>
      <c r="V7" s="329"/>
      <c r="W7" s="329"/>
      <c r="X7" s="329"/>
      <c r="Y7" s="329"/>
      <c r="Z7" s="329"/>
      <c r="AA7" s="329"/>
      <c r="AB7" s="329"/>
      <c r="AC7" s="329"/>
      <c r="AD7" s="329"/>
      <c r="AE7" s="329"/>
      <c r="AF7" s="329"/>
      <c r="AG7" s="329"/>
      <c r="AH7" s="328"/>
      <c r="AI7" s="328"/>
      <c r="AJ7" s="328"/>
      <c r="AK7" s="328"/>
      <c r="AL7" s="186"/>
      <c r="AM7" s="186"/>
      <c r="AN7" s="186"/>
      <c r="AO7" s="186"/>
      <c r="AP7" s="186"/>
      <c r="AQ7" s="186"/>
      <c r="AR7" s="186"/>
      <c r="AS7" s="186"/>
      <c r="AT7" s="186"/>
      <c r="AU7" s="186"/>
      <c r="AV7" s="186"/>
    </row>
    <row r="8" spans="1:48" s="12" customFormat="1" ht="21.95" customHeight="1">
      <c r="A8" s="8"/>
      <c r="B8" s="8"/>
      <c r="C8" s="8"/>
      <c r="D8" s="8"/>
      <c r="E8" s="8"/>
      <c r="F8" s="8"/>
      <c r="G8" s="8"/>
      <c r="H8" s="8"/>
      <c r="I8" s="8"/>
      <c r="J8" s="8"/>
      <c r="K8" s="8"/>
      <c r="L8" s="8"/>
      <c r="M8" s="8"/>
      <c r="N8" s="8"/>
      <c r="O8" s="11"/>
      <c r="P8" s="11"/>
      <c r="Q8" s="556"/>
      <c r="R8" s="1115" t="s">
        <v>938</v>
      </c>
      <c r="S8" s="556"/>
      <c r="T8" s="329"/>
      <c r="U8" s="329"/>
      <c r="V8" s="329"/>
      <c r="W8" s="329"/>
      <c r="X8" s="329"/>
      <c r="Y8" s="329"/>
      <c r="Z8" s="329"/>
      <c r="AA8" s="329"/>
      <c r="AB8" s="329"/>
      <c r="AC8" s="329"/>
      <c r="AD8" s="329"/>
      <c r="AE8" s="329"/>
      <c r="AF8" s="329"/>
      <c r="AG8" s="329"/>
      <c r="AH8" s="328"/>
      <c r="AI8" s="328"/>
      <c r="AJ8" s="328"/>
      <c r="AK8" s="328"/>
      <c r="AL8" s="186"/>
      <c r="AM8" s="186"/>
      <c r="AN8" s="186"/>
      <c r="AO8" s="186"/>
      <c r="AP8" s="186"/>
      <c r="AQ8" s="186"/>
      <c r="AR8" s="186"/>
      <c r="AS8" s="186"/>
      <c r="AT8" s="186"/>
      <c r="AU8" s="186"/>
      <c r="AV8" s="186"/>
    </row>
    <row r="9" spans="1:48" s="12" customFormat="1" ht="21.95" customHeight="1">
      <c r="A9" s="8"/>
      <c r="B9" s="8"/>
      <c r="C9" s="8"/>
      <c r="D9" s="8"/>
      <c r="E9" s="8"/>
      <c r="F9" s="8"/>
      <c r="G9" s="8"/>
      <c r="H9" s="8"/>
      <c r="I9" s="8"/>
      <c r="J9" s="8"/>
      <c r="K9" s="8"/>
      <c r="L9" s="8"/>
      <c r="M9" s="8"/>
      <c r="N9" s="8"/>
      <c r="O9" s="11"/>
      <c r="P9" s="11"/>
      <c r="Q9" s="556"/>
      <c r="R9" s="1115" t="s">
        <v>939</v>
      </c>
      <c r="S9" s="556"/>
      <c r="T9" s="329"/>
      <c r="U9" s="329"/>
      <c r="V9" s="329"/>
      <c r="W9" s="329"/>
      <c r="X9" s="329"/>
      <c r="Y9" s="329"/>
      <c r="Z9" s="329"/>
      <c r="AA9" s="329"/>
      <c r="AB9" s="329"/>
      <c r="AC9" s="329"/>
      <c r="AD9" s="329"/>
      <c r="AE9" s="329"/>
      <c r="AF9" s="329"/>
      <c r="AG9" s="329"/>
      <c r="AH9" s="328"/>
      <c r="AI9" s="328"/>
      <c r="AJ9" s="328"/>
      <c r="AK9" s="328"/>
      <c r="AL9" s="186"/>
      <c r="AM9" s="186"/>
      <c r="AN9" s="186"/>
      <c r="AO9" s="186"/>
      <c r="AP9" s="186"/>
      <c r="AQ9" s="186"/>
      <c r="AR9" s="186"/>
      <c r="AS9" s="186"/>
      <c r="AT9" s="186"/>
      <c r="AU9" s="186"/>
      <c r="AV9" s="186"/>
    </row>
    <row r="10" spans="1:48" s="12" customFormat="1" ht="21.95" customHeight="1">
      <c r="A10" s="8"/>
      <c r="B10" s="8"/>
      <c r="C10" s="8"/>
      <c r="D10" s="8"/>
      <c r="E10" s="8"/>
      <c r="F10" s="8"/>
      <c r="G10" s="8"/>
      <c r="H10" s="8"/>
      <c r="I10" s="8"/>
      <c r="J10" s="8"/>
      <c r="K10" s="8"/>
      <c r="L10" s="8"/>
      <c r="M10" s="8"/>
      <c r="N10" s="8"/>
      <c r="O10" s="11"/>
      <c r="P10" s="11"/>
      <c r="Q10" s="556"/>
      <c r="R10" s="1114" t="s">
        <v>940</v>
      </c>
      <c r="S10" s="556"/>
      <c r="T10" s="329"/>
      <c r="U10" s="329"/>
      <c r="V10" s="329"/>
      <c r="W10" s="329"/>
      <c r="X10" s="329"/>
      <c r="Y10" s="329"/>
      <c r="Z10" s="329"/>
      <c r="AA10" s="329"/>
      <c r="AB10" s="329"/>
      <c r="AC10" s="329"/>
      <c r="AD10" s="329"/>
      <c r="AE10" s="329"/>
      <c r="AF10" s="329"/>
      <c r="AG10" s="329"/>
      <c r="AH10" s="328"/>
      <c r="AI10" s="328"/>
      <c r="AJ10" s="328"/>
      <c r="AK10" s="328"/>
      <c r="AL10" s="186"/>
      <c r="AM10" s="186"/>
      <c r="AN10" s="186"/>
      <c r="AO10" s="186"/>
      <c r="AP10" s="186"/>
      <c r="AQ10" s="186"/>
      <c r="AR10" s="186"/>
      <c r="AS10" s="186"/>
      <c r="AT10" s="186"/>
      <c r="AU10" s="186"/>
      <c r="AV10" s="186"/>
    </row>
    <row r="11" spans="1:48" s="12" customFormat="1" ht="21.95" customHeight="1">
      <c r="A11" s="8"/>
      <c r="B11" s="8"/>
      <c r="C11" s="8"/>
      <c r="D11" s="8"/>
      <c r="E11" s="8"/>
      <c r="F11" s="8"/>
      <c r="G11" s="8"/>
      <c r="H11" s="8"/>
      <c r="I11" s="8"/>
      <c r="J11" s="8"/>
      <c r="K11" s="8"/>
      <c r="L11" s="8"/>
      <c r="M11" s="8"/>
      <c r="N11" s="8"/>
      <c r="O11" s="11"/>
      <c r="P11" s="11"/>
      <c r="Q11" s="556"/>
      <c r="R11" s="1114" t="s">
        <v>1101</v>
      </c>
      <c r="S11" s="556"/>
      <c r="T11" s="329"/>
      <c r="U11" s="329"/>
      <c r="V11" s="329"/>
      <c r="W11" s="329"/>
      <c r="X11" s="329"/>
      <c r="Y11" s="329"/>
      <c r="Z11" s="329"/>
      <c r="AA11" s="329"/>
      <c r="AB11" s="329"/>
      <c r="AC11" s="329"/>
      <c r="AD11" s="329"/>
      <c r="AE11" s="329"/>
      <c r="AF11" s="329"/>
      <c r="AG11" s="329"/>
      <c r="AH11" s="328"/>
      <c r="AI11" s="328"/>
      <c r="AJ11" s="328"/>
      <c r="AK11" s="328"/>
      <c r="AL11" s="186"/>
      <c r="AM11" s="186"/>
      <c r="AN11" s="186"/>
      <c r="AO11" s="186"/>
      <c r="AP11" s="186"/>
      <c r="AQ11" s="186"/>
      <c r="AR11" s="186"/>
      <c r="AS11" s="186"/>
      <c r="AT11" s="186"/>
      <c r="AU11" s="186"/>
      <c r="AV11" s="186"/>
    </row>
    <row r="12" spans="1:48" s="12" customFormat="1" ht="21.95" customHeight="1">
      <c r="A12" s="8"/>
      <c r="B12" s="8"/>
      <c r="C12" s="8"/>
      <c r="D12" s="8"/>
      <c r="E12" s="8"/>
      <c r="F12" s="8"/>
      <c r="G12" s="8"/>
      <c r="H12" s="8"/>
      <c r="I12" s="8"/>
      <c r="J12" s="8"/>
      <c r="K12" s="8"/>
      <c r="L12" s="8"/>
      <c r="M12" s="8"/>
      <c r="N12" s="8"/>
      <c r="O12" s="11"/>
      <c r="P12" s="11"/>
      <c r="Q12" s="536"/>
      <c r="R12" s="536"/>
      <c r="S12" s="536"/>
      <c r="T12" s="330"/>
      <c r="U12" s="330"/>
      <c r="V12" s="330"/>
      <c r="W12" s="330"/>
      <c r="X12" s="330"/>
      <c r="Y12" s="330"/>
      <c r="Z12" s="330"/>
      <c r="AA12" s="330"/>
      <c r="AB12" s="330"/>
      <c r="AC12" s="330"/>
      <c r="AD12" s="330"/>
      <c r="AE12" s="330"/>
      <c r="AF12" s="330"/>
      <c r="AG12" s="330"/>
      <c r="AH12" s="330"/>
      <c r="AI12" s="330"/>
      <c r="AJ12" s="330"/>
      <c r="AK12" s="330"/>
      <c r="AL12" s="330"/>
      <c r="AM12" s="330"/>
      <c r="AN12" s="330"/>
      <c r="AO12" s="330"/>
      <c r="AP12" s="330"/>
      <c r="AQ12" s="330"/>
      <c r="AR12" s="330"/>
      <c r="AS12" s="330"/>
      <c r="AT12" s="330"/>
      <c r="AU12" s="330"/>
      <c r="AV12" s="330"/>
    </row>
    <row r="13" spans="1:48" s="12" customFormat="1" ht="21.95" customHeight="1">
      <c r="A13" s="8"/>
      <c r="B13" s="8"/>
      <c r="C13" s="8"/>
      <c r="D13" s="8"/>
      <c r="E13" s="8"/>
      <c r="F13" s="8"/>
      <c r="G13" s="8"/>
      <c r="H13" s="8"/>
      <c r="I13" s="8"/>
      <c r="J13" s="8"/>
      <c r="K13" s="8"/>
      <c r="L13" s="8"/>
      <c r="M13" s="8"/>
      <c r="N13" s="8"/>
      <c r="O13" s="11"/>
      <c r="P13" s="11"/>
      <c r="Q13" s="536"/>
      <c r="R13" s="1112" t="s">
        <v>1121</v>
      </c>
      <c r="S13" s="536"/>
      <c r="T13" s="330"/>
      <c r="U13" s="330"/>
      <c r="V13" s="330"/>
      <c r="W13" s="330"/>
      <c r="X13" s="330"/>
      <c r="Y13" s="330"/>
      <c r="Z13" s="330"/>
      <c r="AA13" s="330"/>
      <c r="AB13" s="330"/>
      <c r="AC13" s="330"/>
      <c r="AD13" s="330"/>
      <c r="AE13" s="330"/>
      <c r="AF13" s="330"/>
      <c r="AG13" s="330"/>
      <c r="AH13" s="330"/>
      <c r="AI13" s="330"/>
      <c r="AJ13" s="330"/>
      <c r="AK13" s="330"/>
      <c r="AL13" s="330"/>
      <c r="AM13" s="330"/>
      <c r="AN13" s="330"/>
      <c r="AO13" s="330"/>
      <c r="AP13" s="330"/>
      <c r="AQ13" s="330"/>
      <c r="AR13" s="330"/>
      <c r="AS13" s="330"/>
      <c r="AT13" s="330"/>
      <c r="AU13" s="330"/>
      <c r="AV13" s="330"/>
    </row>
    <row r="14" spans="1:48" s="12" customFormat="1" ht="21.75" customHeight="1">
      <c r="A14" s="8"/>
      <c r="B14" s="8"/>
      <c r="C14" s="8"/>
      <c r="D14" s="8"/>
      <c r="E14" s="8"/>
      <c r="F14" s="8"/>
      <c r="G14" s="8"/>
      <c r="H14" s="8"/>
      <c r="I14" s="8"/>
      <c r="J14" s="8"/>
      <c r="K14" s="8"/>
      <c r="L14" s="8"/>
      <c r="M14" s="8"/>
      <c r="N14" s="8"/>
      <c r="O14" s="11"/>
      <c r="P14" s="11"/>
      <c r="Q14" s="536"/>
      <c r="R14" s="1112" t="s">
        <v>917</v>
      </c>
      <c r="S14" s="536"/>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row>
    <row r="15" spans="1:48" s="12" customFormat="1" ht="21.95" customHeight="1">
      <c r="A15" s="8"/>
      <c r="B15" s="8"/>
      <c r="C15" s="8"/>
      <c r="D15" s="8"/>
      <c r="E15" s="8"/>
      <c r="F15" s="8"/>
      <c r="G15" s="8"/>
      <c r="H15" s="8"/>
      <c r="I15" s="8"/>
      <c r="J15" s="8"/>
      <c r="K15" s="8"/>
      <c r="L15" s="8"/>
      <c r="M15" s="8"/>
      <c r="N15" s="8"/>
      <c r="O15" s="11"/>
      <c r="P15" s="11"/>
      <c r="Q15" s="536"/>
      <c r="R15" s="1112" t="s">
        <v>869</v>
      </c>
      <c r="S15" s="536"/>
      <c r="T15" s="330"/>
      <c r="U15" s="330"/>
      <c r="V15" s="330"/>
      <c r="W15" s="536"/>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row>
    <row r="16" spans="1:48" s="12" customFormat="1" ht="21.95" customHeight="1">
      <c r="A16" s="8"/>
      <c r="B16" s="8"/>
      <c r="C16" s="8"/>
      <c r="D16" s="8"/>
      <c r="E16" s="8"/>
      <c r="F16" s="8"/>
      <c r="G16" s="8"/>
      <c r="H16" s="8"/>
      <c r="I16" s="8"/>
      <c r="J16" s="8"/>
      <c r="K16" s="8"/>
      <c r="L16" s="8"/>
      <c r="M16" s="8"/>
      <c r="N16" s="8"/>
      <c r="O16" s="11"/>
      <c r="P16" s="11"/>
      <c r="Q16" s="536"/>
      <c r="R16" s="1112" t="s">
        <v>826</v>
      </c>
      <c r="S16" s="330"/>
      <c r="T16" s="330"/>
      <c r="U16" s="330"/>
      <c r="V16" s="330"/>
      <c r="W16" s="330"/>
      <c r="X16" s="330"/>
      <c r="Y16" s="330"/>
      <c r="Z16" s="330"/>
      <c r="AA16" s="330"/>
      <c r="AB16" s="330"/>
      <c r="AC16" s="330"/>
      <c r="AD16" s="330"/>
      <c r="AE16" s="330"/>
      <c r="AF16" s="330"/>
      <c r="AG16" s="330"/>
      <c r="AH16" s="330"/>
      <c r="AI16" s="330"/>
      <c r="AJ16" s="330"/>
      <c r="AK16" s="330"/>
      <c r="AL16" s="330"/>
      <c r="AM16" s="1106" t="s">
        <v>1163</v>
      </c>
      <c r="AN16" s="1106"/>
      <c r="AO16" s="330"/>
      <c r="AP16" s="330"/>
      <c r="AQ16" s="330"/>
      <c r="AR16" s="330"/>
      <c r="AS16" s="330"/>
      <c r="AT16" s="330"/>
      <c r="AU16" s="330"/>
      <c r="AV16" s="330"/>
    </row>
    <row r="17" spans="1:48" s="13" customFormat="1" ht="21.95" customHeight="1">
      <c r="A17" s="8"/>
      <c r="B17" s="8"/>
      <c r="C17" s="8"/>
      <c r="D17" s="8"/>
      <c r="E17" s="8"/>
      <c r="F17" s="8"/>
      <c r="G17" s="8"/>
      <c r="H17" s="8"/>
      <c r="I17" s="8"/>
      <c r="J17" s="8"/>
      <c r="K17" s="8"/>
      <c r="L17" s="8"/>
      <c r="M17" s="8"/>
      <c r="N17" s="8"/>
      <c r="O17" s="11"/>
      <c r="P17" s="11"/>
      <c r="Q17" s="536"/>
      <c r="R17" s="1112" t="s">
        <v>870</v>
      </c>
      <c r="S17" s="536"/>
      <c r="T17" s="330"/>
      <c r="U17" s="330"/>
      <c r="V17" s="330"/>
      <c r="W17" s="330"/>
      <c r="X17" s="330"/>
      <c r="Y17" s="330"/>
      <c r="Z17" s="330"/>
      <c r="AA17" s="330"/>
      <c r="AB17" s="330"/>
      <c r="AC17" s="330"/>
      <c r="AD17" s="330"/>
      <c r="AE17" s="330"/>
      <c r="AF17" s="330"/>
      <c r="AG17" s="330"/>
      <c r="AH17" s="330"/>
      <c r="AI17" s="330"/>
      <c r="AJ17" s="330"/>
      <c r="AK17" s="330"/>
      <c r="AL17" s="330"/>
      <c r="AM17" s="536" t="s">
        <v>1062</v>
      </c>
      <c r="AN17" s="536"/>
      <c r="AO17" s="330"/>
      <c r="AP17" s="330"/>
      <c r="AQ17" s="330"/>
      <c r="AR17" s="330"/>
      <c r="AS17" s="330"/>
      <c r="AT17" s="330"/>
      <c r="AU17" s="330"/>
      <c r="AV17" s="330"/>
    </row>
    <row r="18" spans="1:48" s="13" customFormat="1" ht="21.95" customHeight="1">
      <c r="A18" s="8"/>
      <c r="B18" s="8"/>
      <c r="C18" s="8"/>
      <c r="D18" s="8"/>
      <c r="E18" s="8"/>
      <c r="F18" s="8"/>
      <c r="G18" s="8"/>
      <c r="H18" s="8"/>
      <c r="I18" s="8"/>
      <c r="J18" s="8"/>
      <c r="K18" s="8"/>
      <c r="L18" s="8"/>
      <c r="M18" s="8"/>
      <c r="N18" s="8"/>
      <c r="O18" s="11"/>
      <c r="P18" s="11"/>
      <c r="Q18" s="557"/>
      <c r="R18" s="184"/>
      <c r="S18" s="184"/>
      <c r="T18" s="331"/>
      <c r="U18" s="331"/>
      <c r="V18" s="331"/>
      <c r="W18" s="331"/>
      <c r="X18" s="331"/>
      <c r="Y18" s="331"/>
      <c r="Z18" s="331"/>
      <c r="AA18" s="331"/>
      <c r="AB18" s="331"/>
      <c r="AC18" s="331"/>
      <c r="AD18" s="331"/>
      <c r="AE18" s="331"/>
      <c r="AF18" s="331"/>
      <c r="AG18" s="331"/>
      <c r="AH18" s="331"/>
      <c r="AI18" s="331"/>
      <c r="AJ18" s="331"/>
      <c r="AK18" s="331"/>
      <c r="AL18" s="330"/>
      <c r="AM18" s="536" t="s">
        <v>1060</v>
      </c>
      <c r="AN18" s="536"/>
      <c r="AO18" s="330"/>
      <c r="AP18" s="330"/>
      <c r="AQ18" s="330"/>
      <c r="AR18" s="330"/>
      <c r="AS18" s="330"/>
      <c r="AT18" s="330"/>
      <c r="AU18" s="330"/>
      <c r="AV18" s="330"/>
    </row>
    <row r="19" spans="1:48" s="13" customFormat="1" ht="21.95" customHeight="1">
      <c r="A19"/>
      <c r="B19"/>
      <c r="C19"/>
      <c r="D19"/>
      <c r="E19"/>
      <c r="F19"/>
      <c r="G19"/>
      <c r="H19"/>
      <c r="I19"/>
      <c r="J19"/>
      <c r="K19"/>
      <c r="L19"/>
      <c r="M19"/>
      <c r="N19"/>
      <c r="O19" s="11"/>
      <c r="P19" s="11"/>
      <c r="Q19" s="557"/>
      <c r="R19" s="184" t="s">
        <v>942</v>
      </c>
      <c r="S19" s="184"/>
      <c r="T19" s="331"/>
      <c r="U19" s="331"/>
      <c r="V19" s="331"/>
      <c r="W19" s="331"/>
      <c r="X19" s="331"/>
      <c r="Y19" s="331"/>
      <c r="Z19" s="331"/>
      <c r="AA19" s="331"/>
      <c r="AB19" s="331"/>
      <c r="AC19" s="331"/>
      <c r="AD19" s="331"/>
      <c r="AE19" s="331"/>
      <c r="AF19" s="331"/>
      <c r="AG19" s="331"/>
      <c r="AH19" s="331"/>
      <c r="AI19" s="331"/>
      <c r="AJ19" s="331"/>
      <c r="AK19" s="331"/>
      <c r="AL19" s="330"/>
      <c r="AM19" s="536" t="s">
        <v>1061</v>
      </c>
      <c r="AN19" s="536"/>
      <c r="AO19" s="330"/>
      <c r="AP19" s="330"/>
      <c r="AQ19" s="330"/>
      <c r="AR19" s="330"/>
      <c r="AS19" s="330"/>
      <c r="AT19" s="330"/>
      <c r="AU19" s="330"/>
      <c r="AV19" s="330"/>
    </row>
    <row r="20" spans="1:48" s="13" customFormat="1" ht="21.95" customHeight="1">
      <c r="A20"/>
      <c r="B20"/>
      <c r="C20"/>
      <c r="D20"/>
      <c r="E20"/>
      <c r="F20"/>
      <c r="G20"/>
      <c r="H20"/>
      <c r="I20"/>
      <c r="J20"/>
      <c r="K20"/>
      <c r="L20"/>
      <c r="M20"/>
      <c r="N20"/>
      <c r="O20" s="11"/>
      <c r="P20" s="11"/>
      <c r="Q20" s="184"/>
      <c r="R20" s="184" t="s">
        <v>941</v>
      </c>
      <c r="S20" s="184"/>
      <c r="T20" s="331"/>
      <c r="U20" s="331"/>
      <c r="V20" s="331"/>
      <c r="W20" s="331"/>
      <c r="X20" s="331"/>
      <c r="Y20" s="331"/>
      <c r="Z20" s="331"/>
      <c r="AA20" s="331"/>
      <c r="AB20" s="331"/>
      <c r="AC20" s="331"/>
      <c r="AD20" s="331"/>
      <c r="AE20" s="331"/>
      <c r="AF20" s="331"/>
      <c r="AG20" s="331"/>
      <c r="AH20" s="331"/>
      <c r="AI20" s="331"/>
      <c r="AJ20" s="331"/>
      <c r="AK20" s="331"/>
      <c r="AL20" s="330"/>
      <c r="AM20" s="536"/>
      <c r="AN20" s="330"/>
      <c r="AO20" s="330"/>
      <c r="AP20" s="330"/>
      <c r="AQ20" s="330"/>
      <c r="AR20" s="330"/>
      <c r="AS20" s="330"/>
      <c r="AT20" s="330"/>
      <c r="AU20" s="330"/>
      <c r="AV20" s="330"/>
    </row>
    <row r="21" spans="1:48" s="13" customFormat="1" ht="21.95" customHeight="1">
      <c r="A21"/>
      <c r="B21"/>
      <c r="C21"/>
      <c r="D21"/>
      <c r="E21"/>
      <c r="F21"/>
      <c r="G21"/>
      <c r="H21"/>
      <c r="I21"/>
      <c r="J21"/>
      <c r="K21"/>
      <c r="L21"/>
      <c r="M21"/>
      <c r="N21"/>
      <c r="O21" s="11"/>
      <c r="P21" s="11"/>
      <c r="Q21" s="184"/>
      <c r="R21" s="184" t="s">
        <v>927</v>
      </c>
      <c r="S21" s="184"/>
      <c r="T21" s="331"/>
      <c r="U21" s="331"/>
      <c r="V21" s="331"/>
      <c r="W21" s="331"/>
      <c r="X21" s="331"/>
      <c r="Y21" s="331"/>
      <c r="Z21" s="331"/>
      <c r="AA21" s="331"/>
      <c r="AB21" s="331"/>
      <c r="AC21" s="331"/>
      <c r="AD21" s="331"/>
      <c r="AE21" s="331"/>
      <c r="AF21" s="331"/>
      <c r="AG21" s="331"/>
      <c r="AH21" s="331"/>
      <c r="AI21" s="331"/>
      <c r="AJ21" s="331"/>
      <c r="AK21" s="331"/>
      <c r="AL21" s="330"/>
      <c r="AM21" s="536" t="s">
        <v>1057</v>
      </c>
      <c r="AN21" s="536"/>
      <c r="AO21" s="330"/>
      <c r="AP21" s="330"/>
      <c r="AQ21" s="330"/>
      <c r="AR21" s="330"/>
      <c r="AS21" s="330"/>
      <c r="AT21" s="330"/>
      <c r="AU21" s="330"/>
      <c r="AV21" s="330"/>
    </row>
    <row r="22" spans="1:48" s="13" customFormat="1" ht="21.95" customHeight="1">
      <c r="A22"/>
      <c r="B22"/>
      <c r="C22"/>
      <c r="D22"/>
      <c r="E22"/>
      <c r="F22"/>
      <c r="G22"/>
      <c r="H22"/>
      <c r="I22"/>
      <c r="J22"/>
      <c r="K22"/>
      <c r="L22"/>
      <c r="M22"/>
      <c r="N22"/>
      <c r="O22" s="11"/>
      <c r="P22" s="11"/>
      <c r="Q22" s="184"/>
      <c r="R22" s="184" t="s">
        <v>981</v>
      </c>
      <c r="S22" s="184"/>
      <c r="T22" s="331"/>
      <c r="U22" s="331"/>
      <c r="V22" s="331"/>
      <c r="W22" s="331"/>
      <c r="X22" s="331"/>
      <c r="Y22" s="331"/>
      <c r="Z22" s="331"/>
      <c r="AA22" s="331"/>
      <c r="AB22" s="331"/>
      <c r="AC22" s="994" t="s">
        <v>980</v>
      </c>
      <c r="AD22" s="332" t="s">
        <v>311</v>
      </c>
      <c r="AE22" s="331"/>
      <c r="AF22" s="331"/>
      <c r="AG22" s="331"/>
      <c r="AH22" s="331"/>
      <c r="AI22" s="331"/>
      <c r="AJ22" s="331"/>
      <c r="AK22" s="331"/>
      <c r="AL22" s="330"/>
      <c r="AM22" s="536" t="s">
        <v>1058</v>
      </c>
      <c r="AN22" s="536"/>
      <c r="AO22" s="330"/>
      <c r="AP22" s="330"/>
      <c r="AQ22" s="330"/>
      <c r="AR22" s="330"/>
      <c r="AS22" s="330"/>
      <c r="AT22" s="330"/>
      <c r="AU22" s="330"/>
      <c r="AV22" s="330"/>
    </row>
    <row r="23" spans="1:48" s="13" customFormat="1" ht="21.95" customHeight="1">
      <c r="A23"/>
      <c r="B23"/>
      <c r="C23"/>
      <c r="D23"/>
      <c r="E23"/>
      <c r="F23"/>
      <c r="G23"/>
      <c r="H23"/>
      <c r="I23"/>
      <c r="J23"/>
      <c r="K23"/>
      <c r="L23"/>
      <c r="M23"/>
      <c r="N23"/>
      <c r="O23" s="11"/>
      <c r="P23" s="11"/>
      <c r="Q23" s="158"/>
      <c r="R23" s="158"/>
      <c r="S23" s="158"/>
      <c r="T23" s="158"/>
      <c r="U23" s="158"/>
      <c r="V23" s="158"/>
      <c r="W23" s="158"/>
      <c r="X23" s="184"/>
      <c r="Y23" s="158"/>
      <c r="Z23" s="158"/>
      <c r="AA23" s="158"/>
      <c r="AB23" s="158"/>
      <c r="AC23" s="158"/>
      <c r="AD23" s="184"/>
      <c r="AE23" s="158"/>
      <c r="AF23" s="158"/>
      <c r="AG23" s="158"/>
      <c r="AH23" s="331"/>
      <c r="AI23" s="331"/>
      <c r="AJ23" s="331"/>
      <c r="AK23" s="331"/>
      <c r="AL23" s="330"/>
      <c r="AM23" s="536" t="s">
        <v>1063</v>
      </c>
      <c r="AN23" s="536"/>
      <c r="AO23" s="330"/>
      <c r="AP23" s="330"/>
      <c r="AQ23" s="330"/>
      <c r="AR23" s="330"/>
      <c r="AS23" s="330"/>
      <c r="AT23" s="330"/>
      <c r="AU23" s="330"/>
      <c r="AV23" s="330"/>
    </row>
    <row r="24" spans="1:48" s="13" customFormat="1" ht="21.95" customHeight="1">
      <c r="A24" s="11"/>
      <c r="B24" s="11"/>
      <c r="C24" s="11"/>
      <c r="D24" s="11"/>
      <c r="E24" s="11"/>
      <c r="F24" s="11"/>
      <c r="G24" s="11"/>
      <c r="H24" s="11"/>
      <c r="I24" s="11"/>
      <c r="J24" s="11"/>
      <c r="K24" s="11"/>
      <c r="L24" s="11"/>
      <c r="M24" s="11"/>
      <c r="N24" s="11"/>
      <c r="O24" s="11"/>
      <c r="P24" s="11"/>
      <c r="Q24" s="185"/>
      <c r="R24" s="558"/>
      <c r="S24" s="185"/>
      <c r="T24" s="185"/>
      <c r="U24" s="185"/>
      <c r="V24" s="185"/>
      <c r="W24" s="185"/>
      <c r="X24" s="185"/>
      <c r="Y24" s="185"/>
      <c r="Z24" s="185"/>
      <c r="AA24" s="185"/>
      <c r="AB24" s="185"/>
      <c r="AC24" s="185"/>
      <c r="AD24" s="185"/>
      <c r="AE24" s="185"/>
      <c r="AF24" s="185"/>
      <c r="AG24" s="185"/>
      <c r="AH24" s="333"/>
      <c r="AI24" s="333"/>
      <c r="AJ24" s="333"/>
      <c r="AK24" s="333"/>
      <c r="AL24" s="330"/>
      <c r="AM24" s="536" t="s">
        <v>1064</v>
      </c>
      <c r="AN24" s="536"/>
      <c r="AO24" s="330"/>
      <c r="AP24" s="330"/>
      <c r="AQ24" s="330"/>
      <c r="AR24" s="330"/>
      <c r="AS24" s="330"/>
      <c r="AT24" s="330"/>
      <c r="AU24" s="330"/>
      <c r="AV24" s="330"/>
    </row>
    <row r="25" spans="1:48" s="13" customFormat="1" ht="21.95" customHeight="1">
      <c r="A25" s="11"/>
      <c r="B25" s="11"/>
      <c r="C25" s="11"/>
      <c r="D25" s="11"/>
      <c r="E25" s="11"/>
      <c r="F25" s="11"/>
      <c r="G25" s="11"/>
      <c r="H25" s="11"/>
      <c r="I25" s="11"/>
      <c r="J25" s="11"/>
      <c r="K25" s="11"/>
      <c r="L25" s="11"/>
      <c r="M25" s="11"/>
      <c r="N25" s="11"/>
      <c r="O25" s="11"/>
      <c r="P25" s="11"/>
      <c r="Q25" s="185"/>
      <c r="R25" s="1111" t="s">
        <v>946</v>
      </c>
      <c r="S25" s="185"/>
      <c r="T25" s="185"/>
      <c r="U25" s="185"/>
      <c r="V25" s="185"/>
      <c r="W25" s="185"/>
      <c r="X25" s="185"/>
      <c r="Y25" s="185"/>
      <c r="Z25" s="185"/>
      <c r="AA25" s="185"/>
      <c r="AB25" s="185"/>
      <c r="AC25" s="185"/>
      <c r="AD25" s="185"/>
      <c r="AE25" s="185"/>
      <c r="AF25" s="185"/>
      <c r="AG25" s="185"/>
      <c r="AH25" s="333"/>
      <c r="AI25" s="333"/>
      <c r="AJ25" s="333"/>
      <c r="AK25" s="333"/>
      <c r="AL25" s="330"/>
      <c r="AM25" s="536" t="s">
        <v>1102</v>
      </c>
      <c r="AN25" s="536"/>
      <c r="AO25" s="330"/>
      <c r="AP25" s="330"/>
      <c r="AQ25" s="330"/>
      <c r="AR25" s="330"/>
      <c r="AS25" s="330"/>
      <c r="AT25" s="330"/>
      <c r="AU25" s="330"/>
      <c r="AV25" s="330"/>
    </row>
    <row r="26" spans="1:48" s="13" customFormat="1" ht="21.95" customHeight="1">
      <c r="A26" s="11"/>
      <c r="B26" s="11"/>
      <c r="C26" s="11"/>
      <c r="D26" s="11"/>
      <c r="E26" s="11"/>
      <c r="F26" s="11"/>
      <c r="G26" s="11"/>
      <c r="H26" s="11"/>
      <c r="I26" s="11"/>
      <c r="J26" s="11"/>
      <c r="K26" s="11"/>
      <c r="L26" s="11"/>
      <c r="M26" s="11"/>
      <c r="N26" s="11"/>
      <c r="O26" s="11"/>
      <c r="P26" s="11"/>
      <c r="Q26" s="185"/>
      <c r="R26" s="1111" t="s">
        <v>945</v>
      </c>
      <c r="S26" s="185"/>
      <c r="T26" s="185"/>
      <c r="U26" s="185"/>
      <c r="V26" s="185"/>
      <c r="W26" s="185"/>
      <c r="X26" s="185"/>
      <c r="Y26" s="185"/>
      <c r="Z26" s="185"/>
      <c r="AA26" s="185"/>
      <c r="AB26" s="185"/>
      <c r="AC26" s="185"/>
      <c r="AD26" s="185"/>
      <c r="AE26" s="185"/>
      <c r="AF26" s="185"/>
      <c r="AG26" s="185"/>
      <c r="AH26" s="333"/>
      <c r="AI26" s="333"/>
      <c r="AJ26" s="333"/>
      <c r="AK26" s="333"/>
      <c r="AL26" s="330"/>
      <c r="AM26" s="536" t="s">
        <v>1103</v>
      </c>
      <c r="AN26" s="536"/>
      <c r="AO26" s="330"/>
      <c r="AP26" s="330"/>
      <c r="AQ26" s="330"/>
      <c r="AR26" s="330"/>
      <c r="AS26" s="330"/>
      <c r="AT26" s="330"/>
      <c r="AU26" s="330"/>
      <c r="AV26" s="330"/>
    </row>
    <row r="27" spans="1:48" s="13" customFormat="1" ht="21.95" customHeight="1">
      <c r="A27" s="11"/>
      <c r="B27" s="11"/>
      <c r="C27" s="11"/>
      <c r="D27" s="11"/>
      <c r="E27" s="11"/>
      <c r="F27" s="11"/>
      <c r="G27" s="11"/>
      <c r="H27" s="11"/>
      <c r="I27" s="11"/>
      <c r="J27" s="11"/>
      <c r="K27" s="11"/>
      <c r="L27" s="11"/>
      <c r="M27" s="11"/>
      <c r="N27" s="11"/>
      <c r="O27" s="11"/>
      <c r="P27" s="11"/>
      <c r="Q27" s="185"/>
      <c r="R27" s="1111" t="s">
        <v>871</v>
      </c>
      <c r="S27" s="185"/>
      <c r="T27" s="185"/>
      <c r="U27" s="185"/>
      <c r="V27" s="185"/>
      <c r="W27" s="185"/>
      <c r="X27" s="185"/>
      <c r="Y27" s="185"/>
      <c r="Z27" s="185"/>
      <c r="AA27" s="185"/>
      <c r="AB27" s="185"/>
      <c r="AC27" s="185"/>
      <c r="AD27" s="185"/>
      <c r="AE27" s="185"/>
      <c r="AF27" s="185"/>
      <c r="AG27" s="185"/>
      <c r="AH27" s="333"/>
      <c r="AI27" s="333"/>
      <c r="AJ27" s="333"/>
      <c r="AK27" s="333"/>
      <c r="AL27" s="330"/>
      <c r="AM27" s="536" t="s">
        <v>1071</v>
      </c>
      <c r="AN27" s="536"/>
      <c r="AO27" s="330"/>
      <c r="AP27" s="330"/>
      <c r="AQ27" s="330"/>
      <c r="AR27" s="330"/>
      <c r="AS27" s="330"/>
      <c r="AT27" s="330"/>
      <c r="AU27" s="330"/>
      <c r="AV27" s="330"/>
    </row>
    <row r="28" spans="1:48" s="13" customFormat="1" ht="21.95" customHeight="1">
      <c r="A28" s="11"/>
      <c r="B28" s="11"/>
      <c r="C28" s="11"/>
      <c r="D28" s="11"/>
      <c r="E28" s="11"/>
      <c r="F28" s="11"/>
      <c r="G28" s="11"/>
      <c r="H28" s="11"/>
      <c r="I28" s="11"/>
      <c r="J28" s="11"/>
      <c r="K28" s="11"/>
      <c r="L28" s="11"/>
      <c r="M28" s="11"/>
      <c r="N28" s="11"/>
      <c r="O28" s="11"/>
      <c r="P28" s="11"/>
      <c r="Q28" s="185"/>
      <c r="R28" s="1111" t="s">
        <v>944</v>
      </c>
      <c r="S28" s="185"/>
      <c r="T28" s="185"/>
      <c r="U28" s="185"/>
      <c r="V28" s="185"/>
      <c r="W28" s="185"/>
      <c r="X28" s="185"/>
      <c r="Y28" s="185"/>
      <c r="Z28" s="185"/>
      <c r="AA28" s="185"/>
      <c r="AB28" s="185"/>
      <c r="AC28" s="185"/>
      <c r="AD28" s="185"/>
      <c r="AE28" s="185"/>
      <c r="AF28" s="185"/>
      <c r="AG28" s="185"/>
      <c r="AH28" s="333"/>
      <c r="AI28" s="333"/>
      <c r="AJ28" s="333"/>
      <c r="AK28" s="333"/>
      <c r="AL28" s="330"/>
      <c r="AM28" s="536" t="s">
        <v>1084</v>
      </c>
      <c r="AN28" s="536"/>
      <c r="AO28" s="330"/>
      <c r="AP28" s="330"/>
      <c r="AQ28" s="330"/>
      <c r="AR28" s="330"/>
      <c r="AS28" s="330"/>
      <c r="AT28" s="330"/>
      <c r="AU28" s="330"/>
      <c r="AV28" s="330"/>
    </row>
    <row r="29" spans="1:48" ht="21.95" customHeight="1">
      <c r="A29" s="11"/>
      <c r="B29" s="11"/>
      <c r="C29" s="11"/>
      <c r="D29" s="11"/>
      <c r="E29" s="11"/>
      <c r="F29" s="11"/>
      <c r="G29" s="11"/>
      <c r="H29" s="11"/>
      <c r="I29" s="11"/>
      <c r="J29" s="11"/>
      <c r="K29" s="11"/>
      <c r="L29" s="11"/>
      <c r="M29" s="11"/>
      <c r="N29" s="11"/>
      <c r="O29" s="11"/>
      <c r="P29" s="11"/>
      <c r="Q29" s="185"/>
      <c r="R29" s="1111" t="s">
        <v>633</v>
      </c>
      <c r="S29" s="185"/>
      <c r="T29" s="185"/>
      <c r="U29" s="185"/>
      <c r="V29" s="185"/>
      <c r="W29" s="185"/>
      <c r="X29" s="185"/>
      <c r="Y29" s="185"/>
      <c r="Z29" s="185"/>
      <c r="AA29" s="185"/>
      <c r="AB29" s="185"/>
      <c r="AC29" s="185"/>
      <c r="AD29" s="185"/>
      <c r="AE29" s="185"/>
      <c r="AF29" s="185"/>
      <c r="AG29" s="185"/>
      <c r="AH29" s="333"/>
      <c r="AI29" s="333"/>
      <c r="AJ29" s="333"/>
      <c r="AK29" s="333"/>
      <c r="AL29" s="330"/>
      <c r="AM29" s="536" t="s">
        <v>1072</v>
      </c>
      <c r="AN29" s="536"/>
      <c r="AO29" s="330"/>
      <c r="AP29" s="330"/>
      <c r="AQ29" s="330"/>
      <c r="AR29" s="330"/>
      <c r="AS29" s="330"/>
      <c r="AT29" s="330"/>
      <c r="AU29" s="330"/>
      <c r="AV29" s="330"/>
    </row>
    <row r="30" spans="1:48" ht="21.95" customHeight="1">
      <c r="A30" s="11"/>
      <c r="B30" s="11"/>
      <c r="C30" s="11"/>
      <c r="D30" s="11"/>
      <c r="E30" s="11"/>
      <c r="F30" s="11"/>
      <c r="G30" s="11"/>
      <c r="H30" s="11"/>
      <c r="I30" s="11"/>
      <c r="J30" s="11"/>
      <c r="K30" s="11"/>
      <c r="L30" s="11"/>
      <c r="M30" s="11"/>
      <c r="N30" s="11"/>
      <c r="O30" s="11"/>
      <c r="P30" s="11"/>
      <c r="Q30" s="185"/>
      <c r="R30" s="1111" t="s">
        <v>796</v>
      </c>
      <c r="S30" s="185"/>
      <c r="T30" s="185"/>
      <c r="U30" s="185"/>
      <c r="V30" s="185"/>
      <c r="W30" s="185"/>
      <c r="X30" s="185"/>
      <c r="Y30" s="185"/>
      <c r="Z30" s="185"/>
      <c r="AA30" s="185"/>
      <c r="AB30" s="185"/>
      <c r="AC30" s="185"/>
      <c r="AD30" s="185"/>
      <c r="AE30" s="185"/>
      <c r="AF30" s="185"/>
      <c r="AG30" s="185"/>
      <c r="AH30" s="333"/>
      <c r="AI30" s="333"/>
      <c r="AJ30" s="333"/>
      <c r="AK30" s="333"/>
      <c r="AL30" s="330"/>
      <c r="AM30" s="536" t="s">
        <v>1073</v>
      </c>
      <c r="AN30" s="536"/>
      <c r="AO30" s="330"/>
      <c r="AP30" s="330"/>
      <c r="AQ30" s="330"/>
      <c r="AR30" s="330"/>
      <c r="AS30" s="330"/>
      <c r="AT30" s="330"/>
      <c r="AU30" s="330"/>
      <c r="AV30" s="330"/>
    </row>
    <row r="31" spans="1:48" ht="21.95" customHeight="1">
      <c r="A31" s="11" t="s">
        <v>349</v>
      </c>
      <c r="B31" s="11" t="s">
        <v>349</v>
      </c>
      <c r="C31" s="11" t="s">
        <v>349</v>
      </c>
      <c r="D31" s="11" t="s">
        <v>349</v>
      </c>
      <c r="E31" s="11" t="s">
        <v>349</v>
      </c>
      <c r="F31" s="11" t="s">
        <v>349</v>
      </c>
      <c r="G31" s="11" t="s">
        <v>349</v>
      </c>
      <c r="H31" s="11" t="s">
        <v>349</v>
      </c>
      <c r="I31" s="11" t="s">
        <v>349</v>
      </c>
      <c r="J31" s="11" t="s">
        <v>349</v>
      </c>
      <c r="K31" s="11" t="s">
        <v>349</v>
      </c>
      <c r="L31" s="11" t="s">
        <v>349</v>
      </c>
      <c r="M31" s="11" t="s">
        <v>349</v>
      </c>
      <c r="N31" s="11" t="s">
        <v>349</v>
      </c>
      <c r="O31" s="11" t="s">
        <v>349</v>
      </c>
      <c r="P31" s="11" t="s">
        <v>349</v>
      </c>
      <c r="Q31" s="185"/>
      <c r="R31" s="1111" t="s">
        <v>744</v>
      </c>
      <c r="S31" s="185"/>
      <c r="T31" s="185"/>
      <c r="U31" s="185"/>
      <c r="V31" s="185"/>
      <c r="W31" s="185"/>
      <c r="X31" s="185"/>
      <c r="Y31" s="185"/>
      <c r="Z31" s="185"/>
      <c r="AA31" s="185"/>
      <c r="AB31" s="185"/>
      <c r="AC31" s="185"/>
      <c r="AD31" s="185"/>
      <c r="AE31" s="185"/>
      <c r="AF31" s="185"/>
      <c r="AG31" s="185"/>
      <c r="AH31" s="185"/>
      <c r="AI31" s="185"/>
      <c r="AJ31" s="185"/>
      <c r="AK31" s="185"/>
      <c r="AL31" s="330"/>
      <c r="AM31" s="536"/>
      <c r="AN31" s="536"/>
      <c r="AO31" s="330"/>
      <c r="AP31" s="330"/>
      <c r="AQ31" s="330"/>
      <c r="AR31" s="330"/>
      <c r="AS31" s="330"/>
      <c r="AT31" s="330"/>
      <c r="AU31" s="330"/>
      <c r="AV31" s="330"/>
    </row>
    <row r="32" spans="1:48" ht="21.95" customHeight="1">
      <c r="A32" s="11" t="s">
        <v>349</v>
      </c>
      <c r="B32" s="11" t="s">
        <v>349</v>
      </c>
      <c r="C32" s="11" t="s">
        <v>349</v>
      </c>
      <c r="D32" s="11" t="s">
        <v>349</v>
      </c>
      <c r="E32" s="11" t="s">
        <v>349</v>
      </c>
      <c r="F32" s="11" t="s">
        <v>349</v>
      </c>
      <c r="G32" s="11" t="s">
        <v>349</v>
      </c>
      <c r="H32" s="11" t="s">
        <v>349</v>
      </c>
      <c r="I32" s="11" t="s">
        <v>349</v>
      </c>
      <c r="J32" s="11" t="s">
        <v>349</v>
      </c>
      <c r="K32" s="11" t="s">
        <v>349</v>
      </c>
      <c r="M32" s="11"/>
      <c r="N32" s="11"/>
      <c r="O32" s="11"/>
      <c r="P32" s="11"/>
      <c r="Q32" s="329"/>
      <c r="R32" s="168"/>
      <c r="S32" s="329"/>
      <c r="T32" s="329"/>
      <c r="U32" s="329"/>
      <c r="V32" s="329"/>
      <c r="W32" s="329"/>
      <c r="X32" s="329"/>
      <c r="Y32" s="329"/>
      <c r="Z32" s="329"/>
      <c r="AA32" s="329"/>
      <c r="AB32" s="329"/>
      <c r="AC32" s="329"/>
      <c r="AD32" s="329"/>
      <c r="AE32" s="329"/>
      <c r="AF32" s="329"/>
      <c r="AG32" s="329"/>
      <c r="AH32" s="329"/>
      <c r="AI32" s="329"/>
      <c r="AJ32" s="329"/>
      <c r="AK32" s="329"/>
      <c r="AL32" s="330"/>
      <c r="AM32" s="536" t="s">
        <v>1059</v>
      </c>
      <c r="AN32" s="536"/>
      <c r="AO32" s="330"/>
      <c r="AP32" s="330"/>
      <c r="AQ32" s="330"/>
      <c r="AR32" s="330"/>
      <c r="AS32" s="330"/>
      <c r="AT32" s="330"/>
      <c r="AU32" s="330"/>
      <c r="AV32" s="330"/>
    </row>
    <row r="33" spans="1:48" ht="21.95" customHeight="1">
      <c r="A33" s="11" t="s">
        <v>349</v>
      </c>
      <c r="B33" s="186"/>
      <c r="C33" s="11"/>
      <c r="D33" s="187"/>
      <c r="E33" s="188"/>
      <c r="F33" s="188"/>
      <c r="G33" s="11"/>
      <c r="H33" s="11"/>
      <c r="I33" s="11"/>
      <c r="J33" s="11"/>
      <c r="K33" s="11"/>
      <c r="L33" s="11"/>
      <c r="M33" s="11"/>
      <c r="N33" s="11"/>
      <c r="O33" s="11"/>
      <c r="P33" s="11"/>
      <c r="Q33" s="556"/>
      <c r="R33" s="168" t="s">
        <v>797</v>
      </c>
      <c r="S33" s="556"/>
      <c r="T33" s="329"/>
      <c r="U33" s="329"/>
      <c r="V33" s="329"/>
      <c r="W33" s="329"/>
      <c r="X33" s="329"/>
      <c r="Y33" s="329"/>
      <c r="Z33" s="329"/>
      <c r="AA33" s="329"/>
      <c r="AB33" s="329"/>
      <c r="AC33" s="329"/>
      <c r="AD33" s="329"/>
      <c r="AE33" s="329"/>
      <c r="AF33" s="329"/>
      <c r="AG33" s="329"/>
      <c r="AH33" s="329"/>
      <c r="AI33" s="329"/>
      <c r="AJ33" s="329"/>
      <c r="AK33" s="329"/>
      <c r="AL33" s="330"/>
      <c r="AM33" s="536" t="s">
        <v>1057</v>
      </c>
      <c r="AN33" s="536"/>
      <c r="AO33" s="330"/>
      <c r="AP33" s="330"/>
      <c r="AQ33" s="330"/>
      <c r="AR33" s="330"/>
      <c r="AS33" s="330"/>
      <c r="AT33" s="330"/>
      <c r="AU33" s="330"/>
      <c r="AV33" s="330"/>
    </row>
    <row r="34" spans="1:48" ht="21.95" customHeight="1">
      <c r="A34" s="11" t="s">
        <v>349</v>
      </c>
      <c r="B34" s="11" t="s">
        <v>349</v>
      </c>
      <c r="C34" s="11"/>
      <c r="D34" s="334" t="s">
        <v>13</v>
      </c>
      <c r="E34" s="11"/>
      <c r="F34" s="11"/>
      <c r="G34" s="11"/>
      <c r="H34" s="11"/>
      <c r="I34" s="11"/>
      <c r="J34" s="11"/>
      <c r="K34" s="11"/>
      <c r="L34" s="11"/>
      <c r="M34" s="11"/>
      <c r="N34" s="11"/>
      <c r="O34" s="11"/>
      <c r="P34" s="11"/>
      <c r="Q34" s="556"/>
      <c r="R34" s="168" t="s">
        <v>1096</v>
      </c>
      <c r="S34" s="556"/>
      <c r="T34" s="329"/>
      <c r="U34" s="329"/>
      <c r="V34" s="329"/>
      <c r="W34" s="329"/>
      <c r="X34" s="329"/>
      <c r="Y34" s="329"/>
      <c r="Z34" s="329"/>
      <c r="AA34" s="329"/>
      <c r="AB34" s="329"/>
      <c r="AC34" s="329"/>
      <c r="AD34" s="329"/>
      <c r="AE34" s="329"/>
      <c r="AF34" s="329"/>
      <c r="AG34" s="329"/>
      <c r="AH34" s="329"/>
      <c r="AI34" s="329"/>
      <c r="AJ34" s="329"/>
      <c r="AK34" s="329"/>
      <c r="AL34" s="330"/>
      <c r="AM34" s="536" t="s">
        <v>1065</v>
      </c>
      <c r="AN34" s="536"/>
      <c r="AO34" s="330"/>
      <c r="AP34" s="330"/>
      <c r="AQ34" s="330"/>
      <c r="AR34" s="330"/>
      <c r="AS34" s="330"/>
      <c r="AT34" s="330"/>
      <c r="AU34" s="330"/>
      <c r="AV34" s="330"/>
    </row>
    <row r="35" spans="1:48" ht="21.95" customHeight="1">
      <c r="A35" s="11" t="s">
        <v>349</v>
      </c>
      <c r="B35" s="11" t="s">
        <v>349</v>
      </c>
      <c r="C35" s="11"/>
      <c r="D35" s="188" t="s">
        <v>14</v>
      </c>
      <c r="E35" s="11"/>
      <c r="F35" s="11"/>
      <c r="G35" s="11"/>
      <c r="H35" s="11"/>
      <c r="I35" s="11"/>
      <c r="J35" s="11"/>
      <c r="K35" s="11"/>
      <c r="L35" s="11"/>
      <c r="M35" s="11"/>
      <c r="N35" s="11"/>
      <c r="O35" s="11"/>
      <c r="P35" s="11"/>
      <c r="Q35" s="556"/>
      <c r="R35" s="168" t="s">
        <v>1051</v>
      </c>
      <c r="S35" s="556"/>
      <c r="T35" s="329"/>
      <c r="U35" s="329"/>
      <c r="V35" s="329"/>
      <c r="W35" s="329"/>
      <c r="X35" s="329"/>
      <c r="Y35" s="329"/>
      <c r="Z35" s="329"/>
      <c r="AA35" s="329"/>
      <c r="AB35" s="329"/>
      <c r="AC35" s="329"/>
      <c r="AD35" s="329"/>
      <c r="AE35" s="329"/>
      <c r="AF35" s="329"/>
      <c r="AG35" s="329"/>
      <c r="AH35" s="329"/>
      <c r="AI35" s="329"/>
      <c r="AJ35" s="329"/>
      <c r="AK35" s="329"/>
      <c r="AL35" s="330"/>
      <c r="AM35" s="536" t="s">
        <v>1066</v>
      </c>
      <c r="AN35" s="536"/>
      <c r="AO35" s="330"/>
      <c r="AP35" s="330"/>
      <c r="AQ35" s="330"/>
      <c r="AR35" s="330"/>
      <c r="AS35" s="330"/>
      <c r="AT35" s="330"/>
      <c r="AU35" s="330"/>
      <c r="AV35" s="330"/>
    </row>
    <row r="36" spans="1:48" ht="21.95" customHeight="1">
      <c r="A36" s="11" t="s">
        <v>349</v>
      </c>
      <c r="B36" s="11" t="s">
        <v>349</v>
      </c>
      <c r="C36" s="11"/>
      <c r="D36" s="188" t="s">
        <v>15</v>
      </c>
      <c r="E36" s="11"/>
      <c r="F36" s="11"/>
      <c r="G36" s="11"/>
      <c r="H36" s="11"/>
      <c r="I36" s="11"/>
      <c r="J36" s="11"/>
      <c r="K36" s="11"/>
      <c r="L36" s="11"/>
      <c r="M36" s="11"/>
      <c r="N36" s="11"/>
      <c r="O36" s="11"/>
      <c r="P36" s="11"/>
      <c r="Q36" s="556"/>
      <c r="R36" s="168" t="s">
        <v>745</v>
      </c>
      <c r="S36" s="556"/>
      <c r="T36" s="329"/>
      <c r="U36" s="329"/>
      <c r="V36" s="329"/>
      <c r="W36" s="329"/>
      <c r="X36" s="329"/>
      <c r="Y36" s="329"/>
      <c r="Z36" s="329"/>
      <c r="AA36" s="329"/>
      <c r="AB36" s="329"/>
      <c r="AC36" s="329"/>
      <c r="AD36" s="329"/>
      <c r="AE36" s="329"/>
      <c r="AF36" s="329"/>
      <c r="AG36" s="329"/>
      <c r="AH36" s="329"/>
      <c r="AI36" s="329"/>
      <c r="AJ36" s="329"/>
      <c r="AK36" s="329"/>
      <c r="AL36" s="330"/>
      <c r="AM36" s="536" t="s">
        <v>1067</v>
      </c>
      <c r="AN36" s="536"/>
      <c r="AO36" s="330"/>
      <c r="AP36" s="330"/>
      <c r="AQ36" s="330"/>
      <c r="AR36" s="330"/>
      <c r="AS36" s="330"/>
      <c r="AT36" s="330"/>
      <c r="AU36" s="330"/>
      <c r="AV36" s="330"/>
    </row>
    <row r="37" spans="1:48" ht="21.95" customHeight="1">
      <c r="A37" s="11" t="s">
        <v>349</v>
      </c>
      <c r="B37" s="11" t="s">
        <v>349</v>
      </c>
      <c r="C37" s="11"/>
      <c r="D37" s="188" t="s">
        <v>765</v>
      </c>
      <c r="E37" s="11"/>
      <c r="F37" s="11"/>
      <c r="G37" s="11"/>
      <c r="H37" s="11"/>
      <c r="I37" s="11"/>
      <c r="J37" s="11"/>
      <c r="K37" s="11"/>
      <c r="L37" s="11"/>
      <c r="M37" s="11"/>
      <c r="N37" s="11"/>
      <c r="O37" s="11"/>
      <c r="P37" s="11"/>
      <c r="Q37" s="556"/>
      <c r="R37" s="168" t="s">
        <v>1126</v>
      </c>
      <c r="S37" s="556"/>
      <c r="T37" s="329"/>
      <c r="U37" s="329"/>
      <c r="V37" s="329"/>
      <c r="W37" s="329"/>
      <c r="X37" s="329"/>
      <c r="Y37" s="329"/>
      <c r="Z37" s="329"/>
      <c r="AA37" s="329"/>
      <c r="AB37" s="329"/>
      <c r="AC37" s="329"/>
      <c r="AD37" s="329"/>
      <c r="AE37" s="329"/>
      <c r="AF37" s="329"/>
      <c r="AG37" s="329"/>
      <c r="AH37" s="328"/>
      <c r="AI37" s="329"/>
      <c r="AJ37" s="329"/>
      <c r="AK37" s="329"/>
      <c r="AL37" s="330"/>
      <c r="AM37" s="536" t="s">
        <v>1068</v>
      </c>
      <c r="AN37" s="536"/>
      <c r="AO37" s="330"/>
      <c r="AP37" s="330"/>
      <c r="AQ37" s="330"/>
      <c r="AR37" s="330"/>
      <c r="AS37" s="330"/>
      <c r="AT37" s="330"/>
      <c r="AU37" s="330"/>
      <c r="AV37" s="330"/>
    </row>
    <row r="38" spans="1:48" ht="21.95" customHeight="1">
      <c r="A38" s="11" t="s">
        <v>349</v>
      </c>
      <c r="B38" s="11" t="s">
        <v>349</v>
      </c>
      <c r="C38" s="11"/>
      <c r="D38" s="188" t="s">
        <v>1138</v>
      </c>
      <c r="E38" s="11"/>
      <c r="F38" s="11"/>
      <c r="H38" s="11"/>
      <c r="I38" s="11"/>
      <c r="J38" s="11"/>
      <c r="K38" s="188"/>
      <c r="L38" s="188"/>
      <c r="M38" s="335"/>
      <c r="N38" s="11"/>
      <c r="O38" s="11"/>
      <c r="P38" s="11"/>
      <c r="Q38" s="556"/>
      <c r="R38" s="168" t="s">
        <v>683</v>
      </c>
      <c r="S38" s="556"/>
      <c r="T38" s="329"/>
      <c r="U38" s="329"/>
      <c r="V38" s="329"/>
      <c r="W38" s="329"/>
      <c r="X38" s="329"/>
      <c r="Y38" s="329"/>
      <c r="Z38" s="329"/>
      <c r="AA38" s="329"/>
      <c r="AB38" s="329"/>
      <c r="AC38" s="329"/>
      <c r="AD38" s="329"/>
      <c r="AE38" s="168"/>
      <c r="AF38" s="329"/>
      <c r="AG38" s="329"/>
      <c r="AH38" s="328"/>
      <c r="AI38" s="329"/>
      <c r="AJ38" s="329"/>
      <c r="AK38" s="329"/>
      <c r="AL38" s="330"/>
      <c r="AM38" s="536" t="s">
        <v>1069</v>
      </c>
      <c r="AN38" s="536"/>
      <c r="AO38" s="330"/>
      <c r="AP38" s="330"/>
      <c r="AQ38" s="330"/>
      <c r="AR38" s="330"/>
      <c r="AS38" s="330"/>
      <c r="AT38" s="330"/>
      <c r="AU38" s="330"/>
      <c r="AV38" s="330"/>
    </row>
    <row r="39" spans="1:48" ht="21.95" customHeight="1">
      <c r="A39" s="11"/>
      <c r="B39" s="11"/>
      <c r="C39" s="11"/>
      <c r="D39" s="188" t="s">
        <v>794</v>
      </c>
      <c r="E39" s="11"/>
      <c r="F39" s="188"/>
      <c r="G39" s="188"/>
      <c r="H39" s="188"/>
      <c r="I39" s="188"/>
      <c r="J39" s="188"/>
      <c r="K39" s="188"/>
      <c r="L39" s="188"/>
      <c r="M39" s="335"/>
      <c r="N39" s="11"/>
      <c r="O39" s="11"/>
      <c r="P39" s="11"/>
      <c r="Q39" s="556"/>
      <c r="R39" s="168" t="s">
        <v>1053</v>
      </c>
      <c r="S39" s="556"/>
      <c r="T39" s="329"/>
      <c r="U39" s="329"/>
      <c r="V39" s="329"/>
      <c r="W39" s="329"/>
      <c r="X39" s="329"/>
      <c r="Y39" s="329"/>
      <c r="Z39" s="329"/>
      <c r="AA39" s="329"/>
      <c r="AB39" s="329"/>
      <c r="AC39" s="329"/>
      <c r="AD39" s="329"/>
      <c r="AE39" s="168"/>
      <c r="AF39" s="329"/>
      <c r="AG39" s="329"/>
      <c r="AH39" s="329"/>
      <c r="AI39" s="329"/>
      <c r="AJ39" s="329"/>
      <c r="AK39" s="329"/>
      <c r="AL39" s="330"/>
      <c r="AM39" s="536" t="s">
        <v>1070</v>
      </c>
      <c r="AN39" s="536"/>
      <c r="AO39" s="330"/>
      <c r="AP39" s="330"/>
      <c r="AQ39" s="330"/>
      <c r="AR39" s="330"/>
      <c r="AS39" s="330"/>
      <c r="AT39" s="330"/>
      <c r="AU39" s="330"/>
      <c r="AV39" s="330"/>
    </row>
    <row r="40" spans="1:48" ht="21.95" customHeight="1">
      <c r="A40" s="11"/>
      <c r="B40" s="11"/>
      <c r="C40" s="11"/>
      <c r="D40" s="188" t="s">
        <v>1120</v>
      </c>
      <c r="E40" s="11"/>
      <c r="F40" s="11"/>
      <c r="G40" s="188"/>
      <c r="H40" s="188"/>
      <c r="I40" s="188"/>
      <c r="J40" s="188"/>
      <c r="K40" s="11"/>
      <c r="L40" s="11"/>
      <c r="M40" s="11"/>
      <c r="N40" s="11"/>
      <c r="O40" s="11"/>
      <c r="P40" s="11"/>
      <c r="Q40" s="556"/>
      <c r="R40" s="168" t="s">
        <v>1054</v>
      </c>
      <c r="S40" s="556"/>
      <c r="T40" s="329"/>
      <c r="U40" s="329"/>
      <c r="V40" s="329"/>
      <c r="W40" s="329"/>
      <c r="X40" s="329"/>
      <c r="Y40" s="329"/>
      <c r="Z40" s="329"/>
      <c r="AA40" s="329"/>
      <c r="AB40" s="329"/>
      <c r="AC40" s="329"/>
      <c r="AD40" s="329"/>
      <c r="AE40" s="168"/>
      <c r="AF40" s="329"/>
      <c r="AG40" s="329"/>
      <c r="AH40" s="329"/>
      <c r="AI40" s="329"/>
      <c r="AJ40" s="329"/>
      <c r="AK40" s="329"/>
      <c r="AL40" s="330"/>
      <c r="AM40" s="330"/>
      <c r="AN40" s="330"/>
      <c r="AO40" s="330"/>
      <c r="AP40" s="330"/>
      <c r="AQ40" s="330"/>
      <c r="AR40" s="330"/>
      <c r="AS40" s="330"/>
      <c r="AT40" s="330"/>
      <c r="AU40" s="330"/>
      <c r="AV40" s="330"/>
    </row>
    <row r="41" spans="1:48" ht="21.95" customHeight="1">
      <c r="A41" s="11"/>
      <c r="B41" s="11"/>
      <c r="C41" s="11"/>
      <c r="D41" s="188" t="s">
        <v>1097</v>
      </c>
      <c r="E41" s="11"/>
      <c r="F41" s="335"/>
      <c r="G41" s="335"/>
      <c r="H41" s="11"/>
      <c r="I41" s="11"/>
      <c r="J41" s="11"/>
      <c r="K41" s="11"/>
      <c r="L41" s="11"/>
      <c r="M41" s="11"/>
      <c r="N41" s="11"/>
      <c r="O41" s="11"/>
      <c r="P41" s="11"/>
      <c r="Q41" s="556"/>
      <c r="R41" s="168" t="s">
        <v>795</v>
      </c>
      <c r="S41" s="556"/>
      <c r="T41" s="329"/>
      <c r="U41" s="329"/>
      <c r="V41" s="329"/>
      <c r="W41" s="329"/>
      <c r="X41" s="329"/>
      <c r="Y41" s="329"/>
      <c r="Z41" s="329"/>
      <c r="AA41" s="329"/>
      <c r="AB41" s="329"/>
      <c r="AC41" s="329"/>
      <c r="AD41" s="329"/>
      <c r="AE41" s="329"/>
      <c r="AF41" s="329"/>
      <c r="AG41" s="329"/>
      <c r="AH41" s="329"/>
      <c r="AI41" s="329"/>
      <c r="AJ41" s="329"/>
      <c r="AK41" s="329"/>
      <c r="AL41" s="330"/>
      <c r="AM41" s="330"/>
      <c r="AN41" s="330"/>
      <c r="AO41" s="330"/>
      <c r="AP41" s="330"/>
      <c r="AQ41" s="330"/>
      <c r="AR41" s="330"/>
      <c r="AS41" s="330"/>
      <c r="AT41" s="330"/>
      <c r="AU41" s="330"/>
      <c r="AV41" s="330"/>
    </row>
    <row r="42" spans="1:48" ht="21.95" customHeight="1">
      <c r="A42" s="11"/>
      <c r="C42" s="11"/>
      <c r="D42" s="11"/>
      <c r="E42" s="11"/>
      <c r="F42" s="11"/>
      <c r="G42" s="11"/>
      <c r="H42" s="11"/>
      <c r="I42" s="11"/>
      <c r="J42" s="11"/>
      <c r="K42" s="11"/>
      <c r="L42" s="11"/>
      <c r="M42" s="11"/>
      <c r="N42" s="11"/>
      <c r="O42" s="11"/>
      <c r="P42" s="11"/>
      <c r="Q42" s="556"/>
      <c r="R42" s="168" t="s">
        <v>943</v>
      </c>
      <c r="S42" s="556"/>
      <c r="T42" s="329"/>
      <c r="U42" s="329"/>
      <c r="V42" s="329"/>
      <c r="W42" s="329"/>
      <c r="X42" s="329"/>
      <c r="Y42" s="329"/>
      <c r="Z42" s="329"/>
      <c r="AA42" s="329"/>
      <c r="AB42" s="329"/>
      <c r="AC42" s="329"/>
      <c r="AD42" s="329"/>
      <c r="AE42" s="329"/>
      <c r="AF42" s="329"/>
      <c r="AG42" s="329"/>
      <c r="AH42" s="329"/>
      <c r="AI42" s="329"/>
      <c r="AJ42" s="329"/>
      <c r="AK42" s="329"/>
      <c r="AL42" s="330"/>
      <c r="AM42" s="330"/>
      <c r="AN42" s="330"/>
      <c r="AO42" s="330"/>
      <c r="AP42" s="330"/>
      <c r="AQ42" s="330"/>
      <c r="AR42" s="330"/>
      <c r="AS42" s="330"/>
      <c r="AT42" s="330"/>
      <c r="AU42" s="330"/>
      <c r="AV42" s="330"/>
    </row>
    <row r="43" spans="1:48" ht="21.95" customHeight="1">
      <c r="A43" s="11"/>
      <c r="B43" s="188" t="s">
        <v>1139</v>
      </c>
      <c r="C43" s="11"/>
      <c r="D43" s="11"/>
      <c r="E43" s="11"/>
      <c r="F43" s="11"/>
      <c r="H43" s="11"/>
      <c r="I43" s="11"/>
      <c r="J43" s="11"/>
      <c r="K43" s="11"/>
      <c r="L43" s="11"/>
      <c r="M43" s="11"/>
      <c r="N43" s="11"/>
      <c r="O43" s="11"/>
      <c r="P43" s="11"/>
      <c r="Q43" s="556"/>
      <c r="R43" s="168" t="s">
        <v>1158</v>
      </c>
      <c r="S43" s="556"/>
      <c r="T43" s="329"/>
      <c r="U43" s="329"/>
      <c r="V43" s="329"/>
      <c r="W43" s="329"/>
      <c r="X43" s="329"/>
      <c r="Y43" s="329"/>
      <c r="Z43" s="329"/>
      <c r="AA43" s="329"/>
      <c r="AB43" s="329"/>
      <c r="AC43" s="329"/>
      <c r="AD43" s="329"/>
      <c r="AE43" s="329"/>
      <c r="AF43" s="329"/>
      <c r="AG43" s="329"/>
      <c r="AH43" s="329"/>
      <c r="AI43" s="329"/>
      <c r="AJ43" s="329"/>
      <c r="AK43" s="329"/>
      <c r="AL43" s="330"/>
      <c r="AM43" s="330"/>
      <c r="AN43" s="330"/>
      <c r="AO43" s="330"/>
      <c r="AP43" s="330"/>
      <c r="AQ43" s="330"/>
      <c r="AR43" s="330"/>
      <c r="AS43" s="330"/>
      <c r="AT43" s="330"/>
      <c r="AU43" s="330"/>
      <c r="AV43" s="330"/>
    </row>
    <row r="44" spans="1:48" ht="21.95" customHeight="1">
      <c r="A44" s="11"/>
      <c r="B44" s="188" t="s">
        <v>1098</v>
      </c>
      <c r="C44" s="11"/>
      <c r="D44" s="11"/>
      <c r="E44" s="11"/>
      <c r="F44" s="11"/>
      <c r="G44" s="11"/>
      <c r="H44" s="11"/>
      <c r="I44" s="11"/>
      <c r="J44" s="11"/>
      <c r="K44" s="11"/>
      <c r="L44" s="11"/>
      <c r="M44" s="11"/>
      <c r="N44" s="11"/>
      <c r="O44" s="11"/>
      <c r="P44" s="11"/>
      <c r="Q44" s="556"/>
      <c r="R44" s="168" t="s">
        <v>1056</v>
      </c>
      <c r="S44" s="556"/>
      <c r="T44" s="556"/>
      <c r="U44" s="556"/>
      <c r="V44" s="556"/>
      <c r="W44" s="556"/>
      <c r="X44" s="556"/>
      <c r="Y44" s="556"/>
      <c r="Z44" s="556"/>
      <c r="AA44" s="556"/>
      <c r="AB44" s="556"/>
      <c r="AC44" s="556"/>
      <c r="AD44" s="556"/>
      <c r="AE44" s="556"/>
      <c r="AF44" s="556"/>
      <c r="AG44" s="556"/>
      <c r="AH44" s="556"/>
      <c r="AI44" s="556"/>
      <c r="AJ44" s="556"/>
      <c r="AK44" s="556"/>
      <c r="AL44" s="330"/>
      <c r="AM44" s="330"/>
      <c r="AN44" s="330"/>
      <c r="AO44" s="330"/>
      <c r="AP44" s="330"/>
      <c r="AQ44" s="330"/>
      <c r="AR44" s="330"/>
      <c r="AS44" s="330"/>
      <c r="AT44" s="330"/>
      <c r="AU44" s="330"/>
      <c r="AV44" s="330"/>
    </row>
    <row r="45" spans="1:48" ht="21.95" customHeight="1">
      <c r="A45" s="11"/>
      <c r="C45" s="11"/>
      <c r="D45" s="11"/>
      <c r="E45" s="11"/>
      <c r="F45" s="11"/>
      <c r="G45" s="11"/>
      <c r="H45" s="11"/>
      <c r="I45" s="11"/>
      <c r="J45" s="11"/>
      <c r="K45" s="11"/>
      <c r="L45" s="11"/>
      <c r="M45" s="11"/>
      <c r="N45" s="11"/>
      <c r="O45" s="11"/>
      <c r="P45" s="11"/>
      <c r="Q45" s="556"/>
      <c r="R45" s="168" t="s">
        <v>1052</v>
      </c>
      <c r="S45" s="556"/>
      <c r="T45" s="556"/>
      <c r="U45" s="556"/>
      <c r="V45" s="556"/>
      <c r="W45" s="556"/>
      <c r="X45" s="556"/>
      <c r="Y45" s="556"/>
      <c r="Z45" s="556"/>
      <c r="AA45" s="556"/>
      <c r="AB45" s="556"/>
      <c r="AC45" s="556"/>
      <c r="AD45" s="556"/>
      <c r="AE45" s="556"/>
      <c r="AF45" s="556"/>
      <c r="AG45" s="556"/>
      <c r="AH45" s="556"/>
      <c r="AI45" s="556"/>
      <c r="AJ45" s="556"/>
      <c r="AK45" s="556"/>
      <c r="AL45" s="330"/>
      <c r="AM45" s="330"/>
      <c r="AN45" s="330"/>
      <c r="AO45" s="330"/>
      <c r="AP45" s="330"/>
      <c r="AQ45" s="330"/>
      <c r="AR45" s="330"/>
      <c r="AS45" s="330"/>
      <c r="AT45" s="330"/>
      <c r="AU45" s="330"/>
      <c r="AV45" s="330"/>
    </row>
    <row r="46" spans="1:48" ht="21.95" customHeight="1">
      <c r="A46" s="11"/>
      <c r="B46" s="188" t="s">
        <v>1161</v>
      </c>
      <c r="C46" s="11"/>
      <c r="D46" s="11"/>
      <c r="E46" s="11"/>
      <c r="F46" s="11"/>
      <c r="G46" s="11"/>
      <c r="H46" s="11"/>
      <c r="I46" s="11"/>
      <c r="J46" s="11"/>
      <c r="K46" s="11"/>
      <c r="L46" s="11"/>
      <c r="M46" s="11"/>
      <c r="N46" s="11"/>
      <c r="O46" s="11"/>
      <c r="P46" s="11"/>
      <c r="Q46" s="556"/>
      <c r="R46" s="168" t="s">
        <v>1055</v>
      </c>
      <c r="S46" s="556"/>
      <c r="T46" s="556"/>
      <c r="U46" s="556"/>
      <c r="V46" s="556"/>
      <c r="W46" s="556"/>
      <c r="X46" s="556"/>
      <c r="Y46" s="556"/>
      <c r="Z46" s="556"/>
      <c r="AA46" s="556"/>
      <c r="AB46" s="556"/>
      <c r="AC46" s="556"/>
      <c r="AD46" s="556"/>
      <c r="AE46" s="556"/>
      <c r="AF46" s="556"/>
      <c r="AG46" s="556"/>
      <c r="AH46" s="556"/>
      <c r="AI46" s="556"/>
      <c r="AJ46" s="556"/>
      <c r="AK46" s="556"/>
      <c r="AL46" s="330"/>
      <c r="AM46" s="330"/>
      <c r="AN46" s="330"/>
      <c r="AO46" s="330"/>
      <c r="AP46" s="330"/>
      <c r="AQ46" s="330"/>
      <c r="AR46" s="330"/>
      <c r="AS46" s="330"/>
      <c r="AT46" s="330"/>
      <c r="AU46" s="330"/>
      <c r="AV46" s="330"/>
    </row>
    <row r="47" spans="1:48" ht="21.95" customHeight="1">
      <c r="A47" s="11"/>
      <c r="B47" s="188" t="s">
        <v>1162</v>
      </c>
      <c r="C47" s="11"/>
      <c r="D47" s="11"/>
      <c r="E47" s="11"/>
      <c r="F47" s="11"/>
      <c r="G47" s="11"/>
      <c r="H47" s="11"/>
      <c r="I47" s="11"/>
      <c r="J47" s="11"/>
      <c r="K47" s="11"/>
      <c r="L47" s="11"/>
      <c r="M47" s="11"/>
      <c r="N47" s="11"/>
      <c r="O47" s="11"/>
      <c r="P47" s="11"/>
      <c r="Q47" s="556"/>
      <c r="R47" s="168" t="s">
        <v>1127</v>
      </c>
      <c r="S47" s="556"/>
      <c r="T47" s="556"/>
      <c r="U47" s="556"/>
      <c r="V47" s="556"/>
      <c r="W47" s="556"/>
      <c r="X47" s="556"/>
      <c r="Y47" s="556"/>
      <c r="Z47" s="556"/>
      <c r="AA47" s="556"/>
      <c r="AB47" s="556"/>
      <c r="AC47" s="556"/>
      <c r="AD47" s="556"/>
      <c r="AE47" s="556"/>
      <c r="AF47" s="556"/>
      <c r="AG47" s="556"/>
      <c r="AH47" s="556"/>
      <c r="AI47" s="556"/>
      <c r="AJ47" s="556"/>
      <c r="AK47" s="556"/>
      <c r="AL47" s="330"/>
      <c r="AM47" s="330"/>
      <c r="AN47" s="330"/>
      <c r="AO47" s="330"/>
      <c r="AP47" s="330"/>
      <c r="AQ47" s="330"/>
      <c r="AR47" s="330"/>
      <c r="AS47" s="330"/>
      <c r="AT47" s="330"/>
      <c r="AU47" s="330"/>
      <c r="AV47" s="330"/>
    </row>
    <row r="48" spans="1:48" ht="21.95" customHeight="1">
      <c r="A48" s="11"/>
      <c r="B48" s="188" t="s">
        <v>1160</v>
      </c>
      <c r="C48" s="11"/>
      <c r="D48" s="11"/>
      <c r="E48" s="11"/>
      <c r="F48" s="11"/>
      <c r="G48" s="11"/>
      <c r="H48" s="11"/>
      <c r="I48" s="11"/>
      <c r="J48" s="11"/>
      <c r="K48" s="11"/>
      <c r="L48" s="11"/>
      <c r="M48" s="11"/>
      <c r="N48" s="11"/>
      <c r="O48" s="11"/>
      <c r="P48" s="11"/>
      <c r="Q48" s="556"/>
      <c r="R48" s="168" t="s">
        <v>1157</v>
      </c>
      <c r="S48" s="556"/>
      <c r="T48" s="556"/>
      <c r="U48" s="556"/>
      <c r="V48" s="556"/>
      <c r="W48" s="556"/>
      <c r="X48" s="556"/>
      <c r="Y48" s="556"/>
      <c r="Z48" s="556"/>
      <c r="AA48" s="556"/>
      <c r="AB48" s="556"/>
      <c r="AC48" s="556"/>
      <c r="AD48" s="556"/>
      <c r="AE48" s="556"/>
      <c r="AF48" s="556"/>
      <c r="AG48" s="556"/>
      <c r="AH48" s="556"/>
      <c r="AI48" s="556"/>
      <c r="AJ48" s="556"/>
      <c r="AK48" s="556"/>
      <c r="AL48" s="330"/>
      <c r="AM48" s="330"/>
      <c r="AN48" s="330"/>
      <c r="AO48" s="330"/>
      <c r="AP48" s="330"/>
      <c r="AQ48" s="330"/>
      <c r="AR48" s="330"/>
      <c r="AS48" s="330"/>
      <c r="AT48" s="330"/>
      <c r="AU48" s="330"/>
      <c r="AV48" s="330"/>
    </row>
    <row r="49" spans="1:48" ht="21.95" customHeight="1">
      <c r="A49" s="11"/>
      <c r="B49" s="188" t="s">
        <v>1140</v>
      </c>
      <c r="C49" s="11"/>
      <c r="D49" s="11"/>
      <c r="E49" s="11"/>
      <c r="F49" s="11"/>
      <c r="G49" s="11"/>
      <c r="H49" s="11"/>
      <c r="I49" s="11"/>
      <c r="J49" s="11"/>
      <c r="K49" s="11"/>
      <c r="L49" s="11"/>
      <c r="M49" s="11"/>
      <c r="N49" s="11"/>
      <c r="O49" s="11"/>
      <c r="P49" s="11"/>
      <c r="Q49" s="556"/>
      <c r="R49" s="168" t="s">
        <v>1159</v>
      </c>
      <c r="S49" s="556"/>
      <c r="T49" s="556"/>
      <c r="U49" s="556"/>
      <c r="V49" s="556"/>
      <c r="W49" s="556"/>
      <c r="X49" s="556"/>
      <c r="Y49" s="556"/>
      <c r="Z49" s="556"/>
      <c r="AA49" s="556"/>
      <c r="AB49" s="556"/>
      <c r="AC49" s="556"/>
      <c r="AD49" s="556"/>
      <c r="AE49" s="556"/>
      <c r="AF49" s="556"/>
      <c r="AG49" s="556"/>
      <c r="AH49" s="556"/>
      <c r="AI49" s="556"/>
      <c r="AJ49" s="556"/>
      <c r="AK49" s="556"/>
      <c r="AL49" s="330"/>
      <c r="AM49" s="330"/>
      <c r="AN49" s="330"/>
      <c r="AO49" s="330"/>
      <c r="AP49" s="330"/>
      <c r="AQ49" s="330"/>
      <c r="AR49" s="330"/>
      <c r="AS49" s="330"/>
      <c r="AT49" s="330"/>
      <c r="AU49" s="330"/>
      <c r="AV49" s="330"/>
    </row>
    <row r="50" spans="1:48" ht="21.95" customHeight="1">
      <c r="A50" s="11"/>
      <c r="C50" s="11"/>
      <c r="D50" s="11"/>
      <c r="E50" s="11"/>
      <c r="F50" s="11"/>
      <c r="G50" s="11"/>
      <c r="H50" s="11"/>
      <c r="I50" s="11"/>
      <c r="J50" s="11"/>
      <c r="K50" s="11"/>
      <c r="L50" s="11"/>
      <c r="M50" s="11"/>
      <c r="N50" s="11"/>
      <c r="O50" s="11"/>
      <c r="P50" s="11"/>
      <c r="Q50" s="556"/>
      <c r="R50" s="168"/>
      <c r="S50" s="556"/>
      <c r="T50" s="556"/>
      <c r="U50" s="556"/>
      <c r="V50" s="556"/>
      <c r="W50" s="556"/>
      <c r="X50" s="556"/>
      <c r="Y50" s="556"/>
      <c r="Z50" s="556"/>
      <c r="AA50" s="556"/>
      <c r="AB50" s="556"/>
      <c r="AC50" s="556"/>
      <c r="AD50" s="556"/>
      <c r="AE50" s="556"/>
      <c r="AF50" s="556"/>
      <c r="AG50" s="556"/>
      <c r="AH50" s="556"/>
      <c r="AI50" s="556"/>
      <c r="AJ50" s="556"/>
      <c r="AK50" s="556"/>
      <c r="AL50" s="330"/>
      <c r="AM50" s="330"/>
      <c r="AN50" s="330"/>
      <c r="AO50" s="330"/>
      <c r="AP50" s="330"/>
      <c r="AQ50" s="330"/>
      <c r="AR50" s="330"/>
      <c r="AS50" s="330"/>
      <c r="AT50" s="330"/>
      <c r="AU50" s="330"/>
      <c r="AV50" s="330"/>
    </row>
    <row r="51" spans="1:48" ht="21.95" customHeight="1">
      <c r="A51" s="11"/>
      <c r="B51" s="11"/>
      <c r="C51" s="11"/>
      <c r="D51" s="11"/>
      <c r="E51" s="11"/>
      <c r="F51" s="11"/>
      <c r="G51" s="11"/>
      <c r="H51" s="11"/>
      <c r="I51" s="11"/>
      <c r="J51" s="11"/>
      <c r="K51" s="11"/>
      <c r="L51" s="11"/>
      <c r="M51" s="11"/>
      <c r="N51" s="11"/>
      <c r="O51" s="11"/>
      <c r="P51" s="11"/>
      <c r="Q51" s="556"/>
      <c r="R51" s="168"/>
      <c r="S51" s="556"/>
      <c r="T51" s="556"/>
      <c r="U51" s="556"/>
      <c r="V51" s="556"/>
      <c r="W51" s="556"/>
      <c r="X51" s="556"/>
      <c r="Y51" s="556"/>
      <c r="Z51" s="556"/>
      <c r="AA51" s="556"/>
      <c r="AB51" s="556"/>
      <c r="AC51" s="556"/>
      <c r="AD51" s="556"/>
      <c r="AE51" s="556"/>
      <c r="AF51" s="556"/>
      <c r="AG51" s="556"/>
      <c r="AH51" s="556"/>
      <c r="AI51" s="556"/>
      <c r="AJ51" s="556"/>
      <c r="AK51" s="556"/>
      <c r="AL51" s="330"/>
      <c r="AM51" s="330"/>
      <c r="AN51" s="330"/>
      <c r="AO51" s="330"/>
      <c r="AP51" s="330"/>
      <c r="AQ51" s="330"/>
      <c r="AR51" s="330"/>
      <c r="AS51" s="330"/>
      <c r="AT51" s="330"/>
      <c r="AU51" s="330"/>
      <c r="AV51" s="330"/>
    </row>
    <row r="52" spans="1:48" ht="21.95" customHeight="1">
      <c r="A52" s="11"/>
      <c r="B52" s="11"/>
      <c r="C52" s="11"/>
      <c r="D52" s="11"/>
      <c r="E52" s="11"/>
      <c r="F52" s="11"/>
      <c r="G52" s="11"/>
      <c r="H52" s="11"/>
      <c r="I52" s="11"/>
      <c r="J52" s="11"/>
      <c r="K52" s="11"/>
      <c r="L52" s="11"/>
      <c r="M52" s="11"/>
      <c r="N52" s="11"/>
      <c r="O52" s="11"/>
      <c r="P52" s="11"/>
      <c r="Q52" s="556"/>
      <c r="R52" s="556"/>
      <c r="S52" s="556"/>
      <c r="T52" s="556"/>
      <c r="U52" s="556"/>
      <c r="V52" s="556"/>
      <c r="W52" s="556"/>
      <c r="X52" s="556"/>
      <c r="Y52" s="556"/>
      <c r="Z52" s="556"/>
      <c r="AA52" s="556"/>
      <c r="AB52" s="556"/>
      <c r="AC52" s="556"/>
      <c r="AD52" s="556"/>
      <c r="AE52" s="556"/>
      <c r="AF52" s="556"/>
      <c r="AG52" s="556"/>
      <c r="AH52" s="556"/>
      <c r="AI52" s="556"/>
      <c r="AJ52" s="556"/>
      <c r="AK52" s="556"/>
      <c r="AL52" s="330"/>
      <c r="AM52" s="330"/>
      <c r="AN52" s="330"/>
      <c r="AO52" s="330"/>
      <c r="AP52" s="330"/>
      <c r="AQ52" s="330"/>
      <c r="AR52" s="330"/>
      <c r="AS52" s="330"/>
      <c r="AT52" s="330"/>
      <c r="AU52" s="330"/>
      <c r="AV52" s="330"/>
    </row>
  </sheetData>
  <sheetProtection password="F411" sheet="1" objects="1" scenarios="1" selectLockedCells="1" selectUnlockedCells="1"/>
  <protectedRanges>
    <protectedRange sqref="D40:K41" name="Intervalo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Plan5"/>
  <dimension ref="A1:AH55"/>
  <sheetViews>
    <sheetView zoomScale="85" zoomScaleNormal="85" workbookViewId="0"/>
  </sheetViews>
  <sheetFormatPr defaultRowHeight="12.75"/>
  <cols>
    <col min="1" max="1" width="14.5703125" customWidth="1"/>
    <col min="2" max="9" width="12.7109375" customWidth="1"/>
    <col min="10" max="10" width="17" customWidth="1"/>
    <col min="11" max="17" width="15.7109375" customWidth="1"/>
    <col min="18" max="22" width="12.7109375" customWidth="1"/>
    <col min="23" max="23" width="16.7109375" customWidth="1"/>
    <col min="24" max="25" width="12.7109375" customWidth="1"/>
    <col min="26" max="26" width="16.85546875" customWidth="1"/>
    <col min="27" max="31" width="12.7109375" customWidth="1"/>
    <col min="32" max="32" width="18.28515625" customWidth="1"/>
    <col min="33" max="33" width="12.7109375" customWidth="1"/>
  </cols>
  <sheetData>
    <row r="1" spans="1:34" ht="24" customHeight="1">
      <c r="A1" s="402"/>
      <c r="B1" s="88" t="s">
        <v>800</v>
      </c>
      <c r="C1" s="88"/>
      <c r="D1" s="210"/>
      <c r="E1" s="210"/>
      <c r="F1" s="210"/>
      <c r="G1" s="210"/>
      <c r="H1" s="535" t="s">
        <v>753</v>
      </c>
      <c r="I1" s="404"/>
      <c r="J1" s="324"/>
      <c r="K1" s="356" t="s">
        <v>0</v>
      </c>
      <c r="L1" s="215"/>
      <c r="M1" s="215"/>
      <c r="N1" s="403" t="s">
        <v>646</v>
      </c>
      <c r="O1" s="403"/>
      <c r="P1" s="403"/>
      <c r="Q1" s="215"/>
      <c r="R1" s="405" t="s">
        <v>630</v>
      </c>
      <c r="S1" s="406"/>
      <c r="T1" s="406"/>
      <c r="U1" s="406"/>
      <c r="V1" s="406"/>
      <c r="W1" s="406"/>
      <c r="X1" s="406"/>
      <c r="Y1" s="407"/>
      <c r="Z1" s="321" t="s">
        <v>688</v>
      </c>
      <c r="AA1" s="215"/>
      <c r="AB1" s="215"/>
      <c r="AC1" s="215"/>
      <c r="AD1" s="215"/>
      <c r="AE1" s="215"/>
      <c r="AF1" s="215"/>
      <c r="AG1" s="218"/>
      <c r="AH1" s="29"/>
    </row>
    <row r="2" spans="1:34" ht="18" customHeight="1" thickBot="1">
      <c r="A2" s="723" t="s">
        <v>589</v>
      </c>
      <c r="B2" s="1140"/>
      <c r="C2" s="1140"/>
      <c r="D2" s="1140"/>
      <c r="E2" s="1141"/>
      <c r="F2" s="1141" t="s">
        <v>686</v>
      </c>
      <c r="G2" s="1142"/>
      <c r="H2" s="1143"/>
      <c r="I2" s="1144"/>
      <c r="J2" s="27"/>
      <c r="K2" s="358">
        <v>8</v>
      </c>
      <c r="L2" s="357">
        <v>1</v>
      </c>
      <c r="M2" s="357">
        <v>6</v>
      </c>
      <c r="N2" s="357">
        <v>3</v>
      </c>
      <c r="O2" s="357">
        <v>7</v>
      </c>
      <c r="P2" s="357">
        <v>2</v>
      </c>
      <c r="Q2" s="357">
        <v>5</v>
      </c>
      <c r="R2" s="274" t="s">
        <v>685</v>
      </c>
      <c r="S2" s="217"/>
      <c r="T2" s="217"/>
      <c r="U2" s="217"/>
      <c r="V2" s="217"/>
      <c r="W2" s="217"/>
      <c r="X2" s="217"/>
      <c r="Y2" s="275"/>
      <c r="Z2" s="207"/>
      <c r="AA2" s="241"/>
      <c r="AB2" s="303" t="s">
        <v>687</v>
      </c>
      <c r="AC2" s="49"/>
      <c r="AD2" s="49"/>
      <c r="AE2" s="197"/>
      <c r="AF2" s="198"/>
      <c r="AG2" s="201"/>
      <c r="AH2" s="29"/>
    </row>
    <row r="3" spans="1:34" ht="35.1" customHeight="1" thickTop="1">
      <c r="A3" s="365" t="s">
        <v>590</v>
      </c>
      <c r="B3" s="1145" t="str">
        <f>K3</f>
        <v>Phosphoric acid</v>
      </c>
      <c r="C3" s="1145" t="str">
        <f t="shared" ref="C3:H3" si="0">L3</f>
        <v>Acetic acid</v>
      </c>
      <c r="D3" s="1145" t="str">
        <f t="shared" si="0"/>
        <v>HCl</v>
      </c>
      <c r="E3" s="1145" t="str">
        <f t="shared" si="0"/>
        <v>Carbonic acid</v>
      </c>
      <c r="F3" s="1145" t="str">
        <f t="shared" si="0"/>
        <v>Hydroxide ion</v>
      </c>
      <c r="G3" s="1145" t="str">
        <f t="shared" si="0"/>
        <v>Ammonia</v>
      </c>
      <c r="H3" s="1146" t="str">
        <f t="shared" si="0"/>
        <v>EDTA</v>
      </c>
      <c r="I3" s="564"/>
      <c r="J3" s="365" t="s">
        <v>593</v>
      </c>
      <c r="K3" s="270" t="s">
        <v>125</v>
      </c>
      <c r="L3" s="270" t="s">
        <v>127</v>
      </c>
      <c r="M3" s="270" t="s">
        <v>326</v>
      </c>
      <c r="N3" s="270" t="s">
        <v>159</v>
      </c>
      <c r="O3" s="270" t="s">
        <v>626</v>
      </c>
      <c r="P3" s="270" t="s">
        <v>128</v>
      </c>
      <c r="Q3" s="271" t="s">
        <v>330</v>
      </c>
      <c r="R3" s="31" t="s">
        <v>593</v>
      </c>
      <c r="S3" s="323" t="str">
        <f>K3</f>
        <v>Phosphoric acid</v>
      </c>
      <c r="T3" s="323" t="str">
        <f t="shared" ref="T3:Y3" si="1">L3</f>
        <v>Acetic acid</v>
      </c>
      <c r="U3" s="323" t="str">
        <f t="shared" si="1"/>
        <v>HCl</v>
      </c>
      <c r="V3" s="323" t="str">
        <f t="shared" si="1"/>
        <v>Carbonic acid</v>
      </c>
      <c r="W3" s="323" t="str">
        <f t="shared" si="1"/>
        <v>Hydroxide ion</v>
      </c>
      <c r="X3" s="323" t="str">
        <f t="shared" si="1"/>
        <v>Ammonia</v>
      </c>
      <c r="Y3" s="323" t="str">
        <f t="shared" si="1"/>
        <v>EDTA</v>
      </c>
      <c r="Z3" s="30" t="s">
        <v>593</v>
      </c>
      <c r="AA3" s="212" t="str">
        <f>IF(VLOOKUP(K$2,Database!$B$22:$N$301,2)="","",VLOOKUP(K$2,Database!$B$22:$N$301,2))</f>
        <v>Phosphoric acid</v>
      </c>
      <c r="AB3" s="212" t="str">
        <f>IF(VLOOKUP(L$2,Database!$B$22:$N$301,2)="","",VLOOKUP(L$2,Database!$B$22:$N$301,2))</f>
        <v>Acetic acid</v>
      </c>
      <c r="AC3" s="212" t="str">
        <f>IF(VLOOKUP(M$2,Database!$B$22:$N$301,2)="","",VLOOKUP(M$2,Database!$B$22:$N$301,2))</f>
        <v>HCl</v>
      </c>
      <c r="AD3" s="212" t="str">
        <f>IF(VLOOKUP(N$2,Database!$B$22:$N$301,2)="","",VLOOKUP(N$2,Database!$B$22:$N$301,2))</f>
        <v>Carbonic acid</v>
      </c>
      <c r="AE3" s="212" t="str">
        <f>IF(VLOOKUP(O$2,Database!$B$22:$N$301,2)="","",VLOOKUP(O$2,Database!$B$22:$N$301,2))</f>
        <v>Hydroxide ion</v>
      </c>
      <c r="AF3" s="212" t="str">
        <f>IF(VLOOKUP(P$2,Database!$B$22:$N$301,2)="","",VLOOKUP(P$2,Database!$B$22:$N$301,2))</f>
        <v>Ammonia</v>
      </c>
      <c r="AG3" s="233" t="str">
        <f>IF(VLOOKUP(Q$2,Database!$B$22:$N$301,2)="","",VLOOKUP(Q$2,Database!$B$22:$N$301,2))</f>
        <v>EDTA</v>
      </c>
      <c r="AH3" s="29"/>
    </row>
    <row r="4" spans="1:34" ht="15.75" customHeight="1" thickBot="1">
      <c r="A4" s="1147" t="s">
        <v>332</v>
      </c>
      <c r="B4" s="1148"/>
      <c r="C4" s="1149"/>
      <c r="D4" s="1149"/>
      <c r="E4" s="1149"/>
      <c r="F4" s="1149"/>
      <c r="G4" s="1267"/>
      <c r="H4" s="1150"/>
      <c r="I4" s="564"/>
      <c r="J4" s="222" t="s">
        <v>594</v>
      </c>
      <c r="K4" s="257">
        <v>-3</v>
      </c>
      <c r="L4" s="257">
        <v>-1</v>
      </c>
      <c r="M4" s="257">
        <v>-1</v>
      </c>
      <c r="N4" s="257">
        <v>-2</v>
      </c>
      <c r="O4" s="257">
        <v>-1</v>
      </c>
      <c r="P4" s="257">
        <v>0</v>
      </c>
      <c r="Q4" s="257">
        <v>-4</v>
      </c>
      <c r="R4" s="223" t="s">
        <v>594</v>
      </c>
      <c r="S4" s="609">
        <f>IF(K4="","",K4)</f>
        <v>-3</v>
      </c>
      <c r="T4" s="609">
        <f t="shared" ref="T4:Y4" si="2">IF(L4="","",L4)</f>
        <v>-1</v>
      </c>
      <c r="U4" s="609">
        <f t="shared" si="2"/>
        <v>-1</v>
      </c>
      <c r="V4" s="609">
        <f t="shared" si="2"/>
        <v>-2</v>
      </c>
      <c r="W4" s="609">
        <f t="shared" si="2"/>
        <v>-1</v>
      </c>
      <c r="X4" s="609">
        <f t="shared" si="2"/>
        <v>0</v>
      </c>
      <c r="Y4" s="609">
        <f t="shared" si="2"/>
        <v>-4</v>
      </c>
      <c r="Z4" s="222" t="s">
        <v>604</v>
      </c>
      <c r="AA4" s="235">
        <f>IF(VLOOKUP(K$2,Database!$B$22:$N$301,3)="","",VLOOKUP(K$2,Database!$B$22:$N$301,3))</f>
        <v>-3</v>
      </c>
      <c r="AB4" s="235">
        <f>IF(VLOOKUP(L$2,Database!$B$22:$N$301,3)="","",VLOOKUP(L$2,Database!$B$22:$N$301,3))</f>
        <v>-1</v>
      </c>
      <c r="AC4" s="235">
        <f>IF(VLOOKUP(M$2,Database!$B$22:$N$301,3)="","",VLOOKUP(M$2,Database!$B$22:$N$301,3))</f>
        <v>-1</v>
      </c>
      <c r="AD4" s="235">
        <f>IF(VLOOKUP(N$2,Database!$B$22:$N$301,3)="","",VLOOKUP(N$2,Database!$B$22:$N$301,3))</f>
        <v>-2</v>
      </c>
      <c r="AE4" s="235">
        <f>IF(VLOOKUP(O$2,Database!$B$22:$N$301,3)="","",VLOOKUP(O$2,Database!$B$22:$N$301,3))</f>
        <v>-1</v>
      </c>
      <c r="AF4" s="235">
        <f>IF(VLOOKUP(P$2,Database!$B$22:$N$301,3)="","",VLOOKUP(P$2,Database!$B$22:$N$301,3))</f>
        <v>0</v>
      </c>
      <c r="AG4" s="242">
        <f>IF(VLOOKUP(Q$2,Database!$B$22:$N$301,3)="","",VLOOKUP(Q$2,Database!$B$22:$N$301,3))</f>
        <v>-4</v>
      </c>
      <c r="AH4" s="29"/>
    </row>
    <row r="5" spans="1:34" ht="15.75" customHeight="1" thickBot="1">
      <c r="A5" s="1261" t="s">
        <v>333</v>
      </c>
      <c r="B5" s="1264">
        <v>2.6499999999999999E-2</v>
      </c>
      <c r="C5" s="1266"/>
      <c r="D5" s="1266"/>
      <c r="E5" s="247"/>
      <c r="F5" s="1266"/>
      <c r="G5" s="247"/>
      <c r="H5" s="248"/>
      <c r="I5" s="564"/>
      <c r="J5" s="190" t="s">
        <v>635</v>
      </c>
      <c r="K5" s="258">
        <v>2.1480000000000001</v>
      </c>
      <c r="L5" s="258">
        <v>4.7569999999999997</v>
      </c>
      <c r="M5" s="258">
        <v>-7</v>
      </c>
      <c r="N5" s="258">
        <v>6.3520000000000003</v>
      </c>
      <c r="O5" s="258">
        <v>15.744999999999999</v>
      </c>
      <c r="P5" s="258">
        <v>9.2439999999999998</v>
      </c>
      <c r="Q5" s="259">
        <v>-0.21</v>
      </c>
      <c r="R5" s="33" t="s">
        <v>487</v>
      </c>
      <c r="S5" s="102">
        <f t="shared" ref="S5:Y5" si="3">IF(K5="","",IF(K6="",10^K5,(IF(K7="",10^K6,(IF(K8="",10^K7,(IF(K9="",10^K8,(IF(K10="",10^K9,10^K10))))))))))</f>
        <v>2238721138568.3457</v>
      </c>
      <c r="T5" s="106">
        <f t="shared" si="3"/>
        <v>57147.863667186728</v>
      </c>
      <c r="U5" s="106">
        <f t="shared" si="3"/>
        <v>9.9999999999999995E-8</v>
      </c>
      <c r="V5" s="106">
        <f t="shared" si="3"/>
        <v>21330449131.465843</v>
      </c>
      <c r="W5" s="106">
        <f t="shared" si="3"/>
        <v>5559042572704029</v>
      </c>
      <c r="X5" s="106">
        <f t="shared" si="3"/>
        <v>1753880501.8417609</v>
      </c>
      <c r="Y5" s="214">
        <f t="shared" si="3"/>
        <v>107151930523.76077</v>
      </c>
      <c r="Z5" s="190" t="s">
        <v>581</v>
      </c>
      <c r="AA5" s="243">
        <f>IF(VLOOKUP(K$2,Database!$B$22:$N$301,4)="","",VLOOKUP(K$2,Database!$B$22:$N$301,4))</f>
        <v>2.1480000000000001</v>
      </c>
      <c r="AB5" s="366">
        <f>IF(VLOOKUP(L$2,Database!$B$22:$N$301,4)="","",VLOOKUP(L$2,Database!$B$22:$N$301,4))</f>
        <v>4.7569999999999997</v>
      </c>
      <c r="AC5" s="366">
        <f>IF(VLOOKUP(M$2,Database!$B$22:$N$301,4)="","",VLOOKUP(M$2,Database!$B$22:$N$301,4))</f>
        <v>-7</v>
      </c>
      <c r="AD5" s="366">
        <f>IF(VLOOKUP(N$2,Database!$B$22:$N$301,4)="","",VLOOKUP(N$2,Database!$B$22:$N$301,4))</f>
        <v>6.3520000000000003</v>
      </c>
      <c r="AE5" s="366">
        <f>IF(VLOOKUP(O$2,Database!$B$22:$N$301,4)="","",VLOOKUP(O$2,Database!$B$22:$N$301,4))</f>
        <v>15.744999999999999</v>
      </c>
      <c r="AF5" s="366">
        <f>IF(VLOOKUP(P$2,Database!$B$22:$N$301,4)="","",VLOOKUP(P$2,Database!$B$22:$N$301,4))</f>
        <v>9.2439999999999998</v>
      </c>
      <c r="AG5" s="367">
        <f>IF(VLOOKUP(Q$2,Database!$B$22:$N$301,4)="","",VLOOKUP(Q$2,Database!$B$22:$N$301,4))</f>
        <v>-0.21</v>
      </c>
      <c r="AH5" s="29"/>
    </row>
    <row r="6" spans="1:34" ht="15.75" customHeight="1" thickBot="1">
      <c r="A6" s="1261" t="s">
        <v>488</v>
      </c>
      <c r="B6" s="1264">
        <v>0.02</v>
      </c>
      <c r="C6" s="538"/>
      <c r="D6" s="687"/>
      <c r="E6" s="1266"/>
      <c r="F6" s="538"/>
      <c r="G6" s="538"/>
      <c r="H6" s="248"/>
      <c r="I6" s="564"/>
      <c r="J6" s="191" t="s">
        <v>636</v>
      </c>
      <c r="K6" s="258">
        <v>7.1989999999999998</v>
      </c>
      <c r="L6" s="258" t="s">
        <v>588</v>
      </c>
      <c r="M6" s="258" t="s">
        <v>588</v>
      </c>
      <c r="N6" s="258">
        <v>10.329000000000001</v>
      </c>
      <c r="O6" s="258" t="s">
        <v>588</v>
      </c>
      <c r="P6" s="258" t="s">
        <v>588</v>
      </c>
      <c r="Q6" s="260">
        <v>1.5</v>
      </c>
      <c r="R6" s="35" t="s">
        <v>489</v>
      </c>
      <c r="S6" s="105">
        <f t="shared" ref="S6:Y6" si="4">IF(K6="","",IF(K7="",S5*10^K5,(IF(K8="",S5*10^K6,(IF(K9="",S5*10^K7,(IF(K10="",S5*10^K8,S5*10^K9))))))))</f>
        <v>3.539973410834362E+19</v>
      </c>
      <c r="T6" s="106" t="str">
        <f t="shared" si="4"/>
        <v/>
      </c>
      <c r="U6" s="106" t="str">
        <f t="shared" si="4"/>
        <v/>
      </c>
      <c r="V6" s="106">
        <f t="shared" si="4"/>
        <v>4.7973344863669224E+16</v>
      </c>
      <c r="W6" s="106" t="str">
        <f t="shared" si="4"/>
        <v/>
      </c>
      <c r="X6" s="106" t="str">
        <f t="shared" si="4"/>
        <v/>
      </c>
      <c r="Y6" s="108">
        <f t="shared" si="4"/>
        <v>6.0255958607435917E+17</v>
      </c>
      <c r="Z6" s="191" t="s">
        <v>582</v>
      </c>
      <c r="AA6" s="236">
        <f>IF(VLOOKUP(K$2,Database!$B$22:$N$301,5)="","",VLOOKUP(K$2,Database!$B$22:$N$301,5))</f>
        <v>7.1989999999999998</v>
      </c>
      <c r="AB6" s="237" t="str">
        <f>IF(VLOOKUP(L$2,Database!$B$22:$N$301,5)="","",VLOOKUP(L$2,Database!$B$22:$N$301,5))</f>
        <v/>
      </c>
      <c r="AC6" s="237" t="str">
        <f>IF(VLOOKUP(M$2,Database!$B$22:$N$301,5)="","",VLOOKUP(M$2,Database!$B$22:$N$301,5))</f>
        <v/>
      </c>
      <c r="AD6" s="237">
        <f>IF(VLOOKUP(N$2,Database!$B$22:$N$301,5)="","",VLOOKUP(N$2,Database!$B$22:$N$301,5))</f>
        <v>10.329000000000001</v>
      </c>
      <c r="AE6" s="237" t="str">
        <f>IF(VLOOKUP(O$2,Database!$B$22:$N$301,5)="","",VLOOKUP(O$2,Database!$B$22:$N$301,5))</f>
        <v/>
      </c>
      <c r="AF6" s="237" t="str">
        <f>IF(VLOOKUP(P$2,Database!$B$22:$N$301,5)="","",VLOOKUP(P$2,Database!$B$22:$N$301,5))</f>
        <v/>
      </c>
      <c r="AG6" s="238">
        <f>IF(VLOOKUP(Q$2,Database!$B$22:$N$301,5)="","",VLOOKUP(Q$2,Database!$B$22:$N$301,5))</f>
        <v>1.5</v>
      </c>
      <c r="AH6" s="29"/>
    </row>
    <row r="7" spans="1:34" ht="15.75" customHeight="1" thickBot="1">
      <c r="A7" s="1261" t="s">
        <v>490</v>
      </c>
      <c r="B7" s="1265"/>
      <c r="C7" s="538"/>
      <c r="D7" s="687"/>
      <c r="E7" s="538"/>
      <c r="F7" s="538"/>
      <c r="G7" s="538"/>
      <c r="H7" s="248"/>
      <c r="I7" s="564"/>
      <c r="J7" s="191" t="s">
        <v>637</v>
      </c>
      <c r="K7" s="258">
        <v>12.35</v>
      </c>
      <c r="L7" s="258" t="s">
        <v>588</v>
      </c>
      <c r="M7" s="258" t="s">
        <v>588</v>
      </c>
      <c r="N7" s="258" t="s">
        <v>588</v>
      </c>
      <c r="O7" s="258" t="s">
        <v>588</v>
      </c>
      <c r="P7" s="258" t="s">
        <v>588</v>
      </c>
      <c r="Q7" s="260">
        <v>2.21</v>
      </c>
      <c r="R7" s="35" t="s">
        <v>491</v>
      </c>
      <c r="S7" s="105">
        <f t="shared" ref="S7:Y7" si="5">IF(K7="","",IF(K8="",S6*10^K5,(IF(K9="",S6*10^K6,(IF(K10="",S6*10^K7,S6*10^K8))))))</f>
        <v>4.9773708497893867E+21</v>
      </c>
      <c r="T7" s="106" t="str">
        <f t="shared" si="5"/>
        <v/>
      </c>
      <c r="U7" s="106" t="str">
        <f t="shared" si="5"/>
        <v/>
      </c>
      <c r="V7" s="106" t="str">
        <f t="shared" si="5"/>
        <v/>
      </c>
      <c r="W7" s="106" t="str">
        <f t="shared" si="5"/>
        <v/>
      </c>
      <c r="X7" s="106" t="str">
        <f t="shared" si="5"/>
        <v/>
      </c>
      <c r="Y7" s="108">
        <f t="shared" si="5"/>
        <v>7.7624711662869401E+20</v>
      </c>
      <c r="Z7" s="191" t="s">
        <v>583</v>
      </c>
      <c r="AA7" s="236">
        <f>IF(VLOOKUP(K$2,Database!$B$22:$N$301,6)="","",VLOOKUP(K$2,Database!$B$22:$N$301,6))</f>
        <v>12.35</v>
      </c>
      <c r="AB7" s="237" t="str">
        <f>IF(VLOOKUP(L$2,Database!$B$22:$N$301,6)="","",VLOOKUP(L$2,Database!$B$22:$N$301,6))</f>
        <v/>
      </c>
      <c r="AC7" s="237" t="str">
        <f>IF(VLOOKUP(M$2,Database!$B$22:$N$301,6)="","",VLOOKUP(M$2,Database!$B$22:$N$301,6))</f>
        <v/>
      </c>
      <c r="AD7" s="237" t="str">
        <f>IF(VLOOKUP(N$2,Database!$B$22:$N$301,6)="","",VLOOKUP(N$2,Database!$B$22:$N$301,6))</f>
        <v/>
      </c>
      <c r="AE7" s="237" t="str">
        <f>IF(VLOOKUP(O$2,Database!$B$22:$N$301,6)="","",VLOOKUP(O$2,Database!$B$22:$N$301,6))</f>
        <v/>
      </c>
      <c r="AF7" s="237" t="str">
        <f>IF(VLOOKUP(P$2,Database!$B$22:$N$301,6)="","",VLOOKUP(P$2,Database!$B$22:$N$301,6))</f>
        <v/>
      </c>
      <c r="AG7" s="238">
        <f>IF(VLOOKUP(Q$2,Database!$B$22:$N$301,6)="","",VLOOKUP(Q$2,Database!$B$22:$N$301,6))</f>
        <v>2.21</v>
      </c>
      <c r="AH7" s="29"/>
    </row>
    <row r="8" spans="1:34" ht="15.75" customHeight="1" thickBot="1">
      <c r="A8" s="1261" t="s">
        <v>492</v>
      </c>
      <c r="B8" s="1258"/>
      <c r="C8" s="538"/>
      <c r="D8" s="538"/>
      <c r="E8" s="538"/>
      <c r="F8" s="538"/>
      <c r="G8" s="538"/>
      <c r="H8" s="1269"/>
      <c r="I8" s="564"/>
      <c r="J8" s="191" t="s">
        <v>638</v>
      </c>
      <c r="K8" s="258" t="s">
        <v>588</v>
      </c>
      <c r="L8" s="258" t="s">
        <v>588</v>
      </c>
      <c r="M8" s="258" t="s">
        <v>588</v>
      </c>
      <c r="N8" s="258" t="s">
        <v>588</v>
      </c>
      <c r="O8" s="258" t="s">
        <v>588</v>
      </c>
      <c r="P8" s="258" t="s">
        <v>588</v>
      </c>
      <c r="Q8" s="260">
        <v>3.11</v>
      </c>
      <c r="R8" s="35" t="s">
        <v>493</v>
      </c>
      <c r="S8" s="105" t="str">
        <f t="shared" ref="S8:Y8" si="6">IF(K8="","",IF(K9="",S7*10^K5,(IF(K10="",S7*10^K6,S7*10^K7))))</f>
        <v/>
      </c>
      <c r="T8" s="106" t="str">
        <f t="shared" si="6"/>
        <v/>
      </c>
      <c r="U8" s="106" t="str">
        <f t="shared" si="6"/>
        <v/>
      </c>
      <c r="V8" s="106" t="str">
        <f t="shared" si="6"/>
        <v/>
      </c>
      <c r="W8" s="106" t="str">
        <f t="shared" si="6"/>
        <v/>
      </c>
      <c r="X8" s="106" t="str">
        <f t="shared" si="6"/>
        <v/>
      </c>
      <c r="Y8" s="108">
        <f t="shared" si="6"/>
        <v>1.2589254117941712E+23</v>
      </c>
      <c r="Z8" s="191" t="s">
        <v>584</v>
      </c>
      <c r="AA8" s="236" t="str">
        <f>IF(VLOOKUP(K$2,Database!$B$22:$N$301,7)="","",VLOOKUP(K$2,Database!$B$22:$N$301,7))</f>
        <v/>
      </c>
      <c r="AB8" s="237" t="str">
        <f>IF(VLOOKUP(L$2,Database!$B$22:$N$301,7)="","",VLOOKUP(L$2,Database!$B$22:$N$301,7))</f>
        <v/>
      </c>
      <c r="AC8" s="237" t="str">
        <f>IF(VLOOKUP(M$2,Database!$B$22:$N$301,7)="","",VLOOKUP(M$2,Database!$B$22:$N$301,7))</f>
        <v/>
      </c>
      <c r="AD8" s="237" t="str">
        <f>IF(VLOOKUP(N$2,Database!$B$22:$N$301,7)="","",VLOOKUP(N$2,Database!$B$22:$N$301,7))</f>
        <v/>
      </c>
      <c r="AE8" s="237" t="str">
        <f>IF(VLOOKUP(O$2,Database!$B$22:$N$301,7)="","",VLOOKUP(O$2,Database!$B$22:$N$301,7))</f>
        <v/>
      </c>
      <c r="AF8" s="237" t="str">
        <f>IF(VLOOKUP(P$2,Database!$B$22:$N$301,7)="","",VLOOKUP(P$2,Database!$B$22:$N$301,7))</f>
        <v/>
      </c>
      <c r="AG8" s="238">
        <f>IF(VLOOKUP(Q$2,Database!$B$22:$N$301,7)="","",VLOOKUP(Q$2,Database!$B$22:$N$301,7))</f>
        <v>3.11</v>
      </c>
      <c r="AH8" s="29"/>
    </row>
    <row r="9" spans="1:34" ht="15.75" customHeight="1">
      <c r="A9" s="1261" t="s">
        <v>494</v>
      </c>
      <c r="B9" s="1258"/>
      <c r="C9" s="538"/>
      <c r="D9" s="538"/>
      <c r="E9" s="1122"/>
      <c r="F9" s="1122"/>
      <c r="G9" s="1122"/>
      <c r="H9" s="248"/>
      <c r="I9" s="1262" t="s">
        <v>348</v>
      </c>
      <c r="J9" s="191" t="s">
        <v>639</v>
      </c>
      <c r="K9" s="258" t="s">
        <v>588</v>
      </c>
      <c r="L9" s="258" t="s">
        <v>588</v>
      </c>
      <c r="M9" s="258" t="s">
        <v>588</v>
      </c>
      <c r="N9" s="258" t="s">
        <v>588</v>
      </c>
      <c r="O9" s="258" t="s">
        <v>588</v>
      </c>
      <c r="P9" s="258" t="s">
        <v>588</v>
      </c>
      <c r="Q9" s="260">
        <v>6.75</v>
      </c>
      <c r="R9" s="35" t="s">
        <v>495</v>
      </c>
      <c r="S9" s="105" t="str">
        <f t="shared" ref="S9:Y9" si="7">IF(K9="","",IF(K10="",S8*10^K5,S8*10^K6))</f>
        <v/>
      </c>
      <c r="T9" s="106" t="str">
        <f t="shared" si="7"/>
        <v/>
      </c>
      <c r="U9" s="106" t="str">
        <f t="shared" si="7"/>
        <v/>
      </c>
      <c r="V9" s="106" t="str">
        <f t="shared" si="7"/>
        <v/>
      </c>
      <c r="W9" s="106" t="str">
        <f t="shared" si="7"/>
        <v/>
      </c>
      <c r="X9" s="106" t="str">
        <f t="shared" si="7"/>
        <v/>
      </c>
      <c r="Y9" s="108">
        <f t="shared" si="7"/>
        <v>3.9810717055349867E+24</v>
      </c>
      <c r="Z9" s="191" t="s">
        <v>585</v>
      </c>
      <c r="AA9" s="236" t="str">
        <f>IF(VLOOKUP(K$2,Database!$B$22:$N$301,8)="","",VLOOKUP(K$2,Database!$B$22:$N$301,8))</f>
        <v/>
      </c>
      <c r="AB9" s="237" t="str">
        <f>IF(VLOOKUP(L$2,Database!$B$22:$N$301,8)="","",VLOOKUP(L$2,Database!$B$22:$N$301,8))</f>
        <v/>
      </c>
      <c r="AC9" s="237" t="str">
        <f>IF(VLOOKUP(M$2,Database!$B$22:$N$301,8)="","",VLOOKUP(M$2,Database!$B$22:$N$301,8))</f>
        <v/>
      </c>
      <c r="AD9" s="237" t="str">
        <f>IF(VLOOKUP(N$2,Database!$B$22:$N$301,8)="","",VLOOKUP(N$2,Database!$B$22:$N$301,8))</f>
        <v/>
      </c>
      <c r="AE9" s="237" t="str">
        <f>IF(VLOOKUP(O$2,Database!$B$22:$N$301,8)="","",VLOOKUP(O$2,Database!$B$22:$N$301,8))</f>
        <v/>
      </c>
      <c r="AF9" s="237" t="str">
        <f>IF(VLOOKUP(P$2,Database!$B$22:$N$301,8)="","",VLOOKUP(P$2,Database!$B$22:$N$301,8))</f>
        <v/>
      </c>
      <c r="AG9" s="238">
        <f>IF(VLOOKUP(Q$2,Database!$B$22:$N$301,8)="","",VLOOKUP(Q$2,Database!$B$22:$N$301,8))</f>
        <v>6.75</v>
      </c>
      <c r="AH9" s="29"/>
    </row>
    <row r="10" spans="1:34" ht="15.75" customHeight="1" thickBot="1">
      <c r="A10" s="1261" t="s">
        <v>496</v>
      </c>
      <c r="B10" s="1259"/>
      <c r="C10" s="1260"/>
      <c r="D10" s="1260"/>
      <c r="E10" s="1260"/>
      <c r="F10" s="1260"/>
      <c r="G10" s="1260"/>
      <c r="H10" s="1268"/>
      <c r="I10" s="1263" t="s">
        <v>345</v>
      </c>
      <c r="J10" s="192" t="s">
        <v>640</v>
      </c>
      <c r="K10" s="258" t="s">
        <v>588</v>
      </c>
      <c r="L10" s="261" t="s">
        <v>588</v>
      </c>
      <c r="M10" s="261" t="s">
        <v>588</v>
      </c>
      <c r="N10" s="261" t="s">
        <v>588</v>
      </c>
      <c r="O10" s="261" t="s">
        <v>588</v>
      </c>
      <c r="P10" s="261" t="s">
        <v>588</v>
      </c>
      <c r="Q10" s="262">
        <v>11.03</v>
      </c>
      <c r="R10" s="36" t="s">
        <v>497</v>
      </c>
      <c r="S10" s="189" t="str">
        <f t="shared" ref="S10:Y10" si="8">IF(K10="","",S9*10^K5)</f>
        <v/>
      </c>
      <c r="T10" s="106" t="str">
        <f t="shared" si="8"/>
        <v/>
      </c>
      <c r="U10" s="106" t="str">
        <f t="shared" si="8"/>
        <v/>
      </c>
      <c r="V10" s="106" t="str">
        <f t="shared" si="8"/>
        <v/>
      </c>
      <c r="W10" s="106" t="str">
        <f t="shared" si="8"/>
        <v/>
      </c>
      <c r="X10" s="106" t="str">
        <f t="shared" si="8"/>
        <v/>
      </c>
      <c r="Y10" s="108">
        <f t="shared" si="8"/>
        <v>2.4547089156850394E+24</v>
      </c>
      <c r="Z10" s="192" t="s">
        <v>586</v>
      </c>
      <c r="AA10" s="594" t="str">
        <f>IF(VLOOKUP(K$2,Database!$B$22:$N$301,9)="","",VLOOKUP(K$2,Database!$B$22:$N$301,9))</f>
        <v/>
      </c>
      <c r="AB10" s="595" t="str">
        <f>IF(VLOOKUP(L$2,Database!$B$22:$N$301,9)="","",VLOOKUP(L$2,Database!$B$22:$N$301,9))</f>
        <v/>
      </c>
      <c r="AC10" s="595" t="str">
        <f>IF(VLOOKUP(M$2,Database!$B$22:$N$301,9)="","",VLOOKUP(M$2,Database!$B$22:$N$301,9))</f>
        <v/>
      </c>
      <c r="AD10" s="595" t="str">
        <f>IF(VLOOKUP(N$2,Database!$B$22:$N$301,9)="","",VLOOKUP(N$2,Database!$B$22:$N$301,9))</f>
        <v/>
      </c>
      <c r="AE10" s="595" t="str">
        <f>IF(VLOOKUP(O$2,Database!$B$22:$N$301,9)="","",VLOOKUP(O$2,Database!$B$22:$N$301,9))</f>
        <v/>
      </c>
      <c r="AF10" s="595" t="str">
        <f>IF(VLOOKUP(P$2,Database!$B$22:$N$301,9)="","",VLOOKUP(P$2,Database!$B$22:$N$301,9))</f>
        <v/>
      </c>
      <c r="AG10" s="596">
        <f>IF(VLOOKUP(Q$2,Database!$B$22:$N$301,9)="","",VLOOKUP(Q$2,Database!$B$22:$N$301,9))</f>
        <v>11.03</v>
      </c>
      <c r="AH10" s="29"/>
    </row>
    <row r="11" spans="1:34" ht="15.75" customHeight="1" thickTop="1" thickBot="1">
      <c r="A11" s="525" t="s">
        <v>498</v>
      </c>
      <c r="B11" s="23">
        <f>SUM(B4:B10)</f>
        <v>4.65E-2</v>
      </c>
      <c r="C11" s="23">
        <f t="shared" ref="C11:H11" si="9">SUM(C4:C10)</f>
        <v>0</v>
      </c>
      <c r="D11" s="23">
        <f t="shared" si="9"/>
        <v>0</v>
      </c>
      <c r="E11" s="23">
        <f t="shared" si="9"/>
        <v>0</v>
      </c>
      <c r="F11" s="23">
        <f t="shared" si="9"/>
        <v>0</v>
      </c>
      <c r="G11" s="23">
        <f t="shared" si="9"/>
        <v>0</v>
      </c>
      <c r="H11" s="23">
        <f t="shared" si="9"/>
        <v>0</v>
      </c>
      <c r="I11" s="38">
        <f>SUM(B11:H11)</f>
        <v>4.65E-2</v>
      </c>
      <c r="J11" s="1126" t="s">
        <v>591</v>
      </c>
      <c r="K11" s="39" t="s">
        <v>499</v>
      </c>
      <c r="L11" s="40" t="s">
        <v>500</v>
      </c>
      <c r="M11" s="40" t="s">
        <v>501</v>
      </c>
      <c r="N11" s="40" t="s">
        <v>502</v>
      </c>
      <c r="O11" s="40" t="s">
        <v>503</v>
      </c>
      <c r="P11" s="610" t="s">
        <v>801</v>
      </c>
      <c r="Q11" s="40" t="s">
        <v>504</v>
      </c>
      <c r="R11" s="1211" t="s">
        <v>336</v>
      </c>
      <c r="S11" s="77">
        <f>10^-K13</f>
        <v>1.0069316688518014E-14</v>
      </c>
      <c r="T11" s="377"/>
      <c r="U11" s="376"/>
      <c r="V11" s="372"/>
      <c r="W11" s="372"/>
      <c r="X11" s="372"/>
      <c r="Y11" s="372"/>
      <c r="Z11" s="192" t="s">
        <v>788</v>
      </c>
      <c r="AA11" s="597">
        <f>IF(VLOOKUP(K$2,Database!$B$22:$N$301,10)="","unknown",VLOOKUP(K$2,Database!$B$22:$N$301,10))</f>
        <v>25</v>
      </c>
      <c r="AB11" s="597">
        <f>IF(VLOOKUP(L$2,Database!$B$22:$N$301,10)="","unknown",VLOOKUP(L$2,Database!$B$22:$N$301,10))</f>
        <v>25</v>
      </c>
      <c r="AC11" s="597">
        <f>IF(VLOOKUP(M$2,Database!$B$22:$N$301,10)="","unknown",VLOOKUP(M$2,Database!$B$22:$N$301,10))</f>
        <v>25</v>
      </c>
      <c r="AD11" s="597">
        <f>IF(VLOOKUP(N$2,Database!$B$22:$N$301,10)="","unknown",VLOOKUP(N$2,Database!$B$22:$N$301,10))</f>
        <v>25</v>
      </c>
      <c r="AE11" s="597">
        <f>IF(VLOOKUP(O$2,Database!$B$22:$N$301,10)="","unknown",VLOOKUP(O$2,Database!$B$22:$N$301,10))</f>
        <v>25</v>
      </c>
      <c r="AF11" s="597">
        <f>IF(VLOOKUP(P$2,Database!$B$22:$N$301,10)="","unknown",VLOOKUP(P$2,Database!$B$22:$N$301,10))</f>
        <v>25</v>
      </c>
      <c r="AG11" s="598">
        <f>IF(VLOOKUP(Q$2,Database!$B$22:$N$301,10)="","unknown",VLOOKUP(Q$2,Database!$B$22:$N$301,10))</f>
        <v>25</v>
      </c>
      <c r="AH11" s="29"/>
    </row>
    <row r="12" spans="1:34" ht="15.75" customHeight="1" thickTop="1" thickBot="1">
      <c r="A12" s="525" t="s">
        <v>334</v>
      </c>
      <c r="B12" s="23">
        <f>B5+2*B6+3*B7+4*B8+5*B9+6*B10</f>
        <v>6.6500000000000004E-2</v>
      </c>
      <c r="C12" s="23">
        <f t="shared" ref="C12:H12" si="10">C5+2*C6+3*C7+4*C8+5*C9+6*C10</f>
        <v>0</v>
      </c>
      <c r="D12" s="23">
        <f>D5+2*D6+3*D7+4*D8+5*D9+6*D10</f>
        <v>0</v>
      </c>
      <c r="E12" s="23">
        <f t="shared" si="10"/>
        <v>0</v>
      </c>
      <c r="F12" s="23">
        <f>F5+2*F6+3*F7+4*F8+5*F9+6*F10</f>
        <v>0</v>
      </c>
      <c r="G12" s="23">
        <f t="shared" si="10"/>
        <v>0</v>
      </c>
      <c r="H12" s="23">
        <f t="shared" si="10"/>
        <v>0</v>
      </c>
      <c r="I12" s="41">
        <f>SUM(B12:H12)</f>
        <v>6.6500000000000004E-2</v>
      </c>
      <c r="J12" s="42" t="s">
        <v>595</v>
      </c>
      <c r="K12" s="43">
        <v>1</v>
      </c>
      <c r="L12" s="44">
        <v>1</v>
      </c>
      <c r="M12" s="44">
        <v>2</v>
      </c>
      <c r="N12" s="44">
        <v>-1</v>
      </c>
      <c r="O12" s="44">
        <v>-1</v>
      </c>
      <c r="P12" s="44">
        <v>-2</v>
      </c>
      <c r="Q12" s="44">
        <v>-1</v>
      </c>
      <c r="R12" s="375"/>
      <c r="S12" s="376"/>
      <c r="T12" s="232"/>
      <c r="U12" s="232"/>
      <c r="V12" s="232"/>
      <c r="W12" s="232"/>
      <c r="X12" s="232"/>
      <c r="Y12" s="232"/>
      <c r="Z12" s="1325" t="s">
        <v>789</v>
      </c>
      <c r="AA12" s="599">
        <f>IF(VLOOKUP(K$2,Database!$B$22:$N$301,11)="","unknown",VLOOKUP(K$2,Database!$B$22:$N$301,11))</f>
        <v>0</v>
      </c>
      <c r="AB12" s="599">
        <f>IF(VLOOKUP(L$2,Database!$B$22:$N$301,11)="","unknown",VLOOKUP(L$2,Database!$B$22:$N$301,11))</f>
        <v>0</v>
      </c>
      <c r="AC12" s="599">
        <f>IF(VLOOKUP(M$2,Database!$B$22:$N$301,11)="","unknown",VLOOKUP(M$2,Database!$B$22:$N$301,11))</f>
        <v>0</v>
      </c>
      <c r="AD12" s="599">
        <f>IF(VLOOKUP(N$2,Database!$B$22:$N$301,11)="","unknown",VLOOKUP(N$2,Database!$B$22:$N$301,11))</f>
        <v>0</v>
      </c>
      <c r="AE12" s="599">
        <f>IF(VLOOKUP(O$2,Database!$B$22:$N$301,11)="","unknown",VLOOKUP(O$2,Database!$B$22:$N$301,11))</f>
        <v>0</v>
      </c>
      <c r="AF12" s="599">
        <f>IF(VLOOKUP(P$2,Database!$B$22:$N$301,11)="","unknown",VLOOKUP(P$2,Database!$B$22:$N$301,11))</f>
        <v>0</v>
      </c>
      <c r="AG12" s="600">
        <f>IF(VLOOKUP(Q$2,Database!$B$22:$N$301,11)="","unknown",VLOOKUP(Q$2,Database!$B$22:$N$301,11))</f>
        <v>0</v>
      </c>
      <c r="AH12" s="29"/>
    </row>
    <row r="13" spans="1:34" ht="15.75" customHeight="1" thickTop="1" thickBot="1">
      <c r="A13" s="526" t="s">
        <v>576</v>
      </c>
      <c r="B13" s="23">
        <f t="shared" ref="B13:H13" si="11">K4*B4+(K4+1)*B5+(K4+2)*B6+(K4+3)*B7+(K4+4)*B8+(K4+5)*B9+(K4+6)*B10</f>
        <v>-7.2999999999999995E-2</v>
      </c>
      <c r="C13" s="23">
        <f t="shared" si="11"/>
        <v>0</v>
      </c>
      <c r="D13" s="23">
        <f>M4*D4+(M4+1)*D5+(M4+2)*D6+(M4+3)*D7+(M4+4)*D8+(M4+5)*D9+(M4+6)*D10</f>
        <v>0</v>
      </c>
      <c r="E13" s="23">
        <f t="shared" si="11"/>
        <v>0</v>
      </c>
      <c r="F13" s="23">
        <f>O4*F4+(O4+1)*F5+(O4+2)*F6+(O4+3)*F7+(O4+4)*F8+(O4+5)*F9+(O4+6)*F10</f>
        <v>0</v>
      </c>
      <c r="G13" s="23">
        <f t="shared" si="11"/>
        <v>0</v>
      </c>
      <c r="H13" s="23">
        <f t="shared" si="11"/>
        <v>0</v>
      </c>
      <c r="I13" s="98">
        <f>SUM(B13:H13)</f>
        <v>-7.2999999999999995E-2</v>
      </c>
      <c r="J13" s="45" t="s">
        <v>335</v>
      </c>
      <c r="K13" s="46">
        <v>13.997</v>
      </c>
      <c r="L13" s="29"/>
      <c r="M13" s="29"/>
      <c r="N13" s="29"/>
      <c r="O13" s="29"/>
      <c r="P13" s="29"/>
      <c r="Q13" s="29"/>
      <c r="R13" s="26"/>
      <c r="S13" s="26"/>
      <c r="T13" s="26"/>
      <c r="U13" s="26"/>
      <c r="V13" s="26"/>
      <c r="W13" s="26"/>
      <c r="X13" s="26"/>
      <c r="Y13" s="26"/>
      <c r="Z13" s="29"/>
      <c r="AA13" s="29"/>
      <c r="AB13" s="29"/>
      <c r="AC13" s="29"/>
      <c r="AD13" s="29"/>
      <c r="AE13" s="29"/>
      <c r="AF13" s="29"/>
      <c r="AG13" s="29"/>
      <c r="AH13" s="29"/>
    </row>
    <row r="14" spans="1:34" s="15" customFormat="1" ht="16.5" customHeight="1" thickTop="1">
      <c r="A14" s="47" t="s">
        <v>591</v>
      </c>
      <c r="B14" s="447" t="str">
        <f>K11</f>
        <v>Na+</v>
      </c>
      <c r="C14" s="447" t="str">
        <f t="shared" ref="C14:H14" si="12">L11</f>
        <v>K+</v>
      </c>
      <c r="D14" s="447" t="str">
        <f t="shared" si="12"/>
        <v>Ca++</v>
      </c>
      <c r="E14" s="447" t="str">
        <f t="shared" si="12"/>
        <v>Cl-</v>
      </c>
      <c r="F14" s="447" t="str">
        <f t="shared" si="12"/>
        <v>NO3-</v>
      </c>
      <c r="G14" s="447" t="str">
        <f t="shared" si="12"/>
        <v>SO4=</v>
      </c>
      <c r="H14" s="448" t="str">
        <f t="shared" si="12"/>
        <v>ClO4-</v>
      </c>
      <c r="I14" s="249"/>
      <c r="J14" s="296" t="s">
        <v>596</v>
      </c>
      <c r="K14" s="297"/>
      <c r="L14" s="29"/>
      <c r="M14" s="1123"/>
      <c r="N14" s="1124" t="s">
        <v>598</v>
      </c>
      <c r="O14" s="1125"/>
      <c r="P14" s="29"/>
      <c r="Q14" s="29"/>
      <c r="R14" s="29"/>
      <c r="S14" s="29"/>
      <c r="T14" s="29"/>
      <c r="U14" s="29"/>
      <c r="V14" s="29"/>
      <c r="W14" s="29"/>
      <c r="X14" s="29"/>
      <c r="Y14" s="29"/>
      <c r="Z14" s="29"/>
      <c r="AA14" s="29"/>
      <c r="AB14" s="29"/>
      <c r="AC14" s="29"/>
      <c r="AD14" s="29"/>
      <c r="AE14" s="29"/>
      <c r="AF14" s="29"/>
      <c r="AG14" s="29"/>
      <c r="AH14" s="29"/>
    </row>
    <row r="15" spans="1:34" ht="15.75" customHeight="1">
      <c r="A15" s="32" t="s">
        <v>505</v>
      </c>
      <c r="B15" s="250">
        <v>7.2999999999999995E-2</v>
      </c>
      <c r="C15" s="250"/>
      <c r="D15" s="250"/>
      <c r="E15" s="250"/>
      <c r="F15" s="250"/>
      <c r="G15" s="250"/>
      <c r="H15" s="251"/>
      <c r="I15" s="249"/>
      <c r="J15" s="298" t="s">
        <v>597</v>
      </c>
      <c r="K15" s="299"/>
      <c r="L15" s="29"/>
      <c r="M15" s="928"/>
      <c r="N15" s="611" t="s">
        <v>599</v>
      </c>
      <c r="O15" s="612"/>
      <c r="P15" s="29"/>
      <c r="Q15" s="29"/>
      <c r="R15" s="26"/>
      <c r="S15" s="26"/>
      <c r="T15" s="26"/>
      <c r="U15" s="26"/>
      <c r="V15" s="26"/>
      <c r="W15" s="26"/>
      <c r="X15" s="26"/>
      <c r="Y15" s="26"/>
      <c r="Z15" s="29"/>
      <c r="AA15" s="29"/>
      <c r="AB15" s="29"/>
      <c r="AC15" s="29"/>
      <c r="AD15" s="29"/>
      <c r="AE15" s="29"/>
      <c r="AF15" s="29"/>
      <c r="AG15" s="29"/>
      <c r="AH15" s="29"/>
    </row>
    <row r="16" spans="1:34" ht="15.75" customHeight="1">
      <c r="A16" s="527" t="s">
        <v>577</v>
      </c>
      <c r="B16" s="23">
        <f t="shared" ref="B16:H16" si="13">B15*K12</f>
        <v>7.2999999999999995E-2</v>
      </c>
      <c r="C16" s="23">
        <f t="shared" si="13"/>
        <v>0</v>
      </c>
      <c r="D16" s="23">
        <f t="shared" si="13"/>
        <v>0</v>
      </c>
      <c r="E16" s="23">
        <f t="shared" si="13"/>
        <v>0</v>
      </c>
      <c r="F16" s="23">
        <f t="shared" si="13"/>
        <v>0</v>
      </c>
      <c r="G16" s="23">
        <f t="shared" si="13"/>
        <v>0</v>
      </c>
      <c r="H16" s="23">
        <f t="shared" si="13"/>
        <v>0</v>
      </c>
      <c r="I16" s="98">
        <f>SUM(B16:H16)</f>
        <v>7.2999999999999995E-2</v>
      </c>
      <c r="J16" s="294" t="s">
        <v>506</v>
      </c>
      <c r="K16" s="295">
        <v>0.50900000000000001</v>
      </c>
      <c r="L16" s="26"/>
      <c r="M16" s="929"/>
      <c r="N16" s="929" t="s">
        <v>600</v>
      </c>
      <c r="O16" s="930"/>
      <c r="P16" s="50"/>
      <c r="Q16" s="26"/>
      <c r="R16" s="26"/>
      <c r="S16" s="26"/>
      <c r="T16" s="26"/>
      <c r="U16" s="26"/>
      <c r="V16" s="26"/>
      <c r="W16" s="26"/>
      <c r="X16" s="26"/>
      <c r="Y16" s="26"/>
      <c r="Z16" s="29"/>
      <c r="AA16" s="29"/>
      <c r="AB16" s="29"/>
      <c r="AC16" s="29"/>
      <c r="AD16" s="29"/>
      <c r="AE16" s="29"/>
      <c r="AF16" s="29"/>
      <c r="AG16" s="29"/>
      <c r="AH16" s="29"/>
    </row>
    <row r="17" spans="1:34" ht="20.25" customHeight="1" thickBot="1">
      <c r="A17" s="51" t="s">
        <v>592</v>
      </c>
      <c r="B17" s="252" t="str">
        <f>IF(I17=0,"OK", "WARNING")</f>
        <v>OK</v>
      </c>
      <c r="C17" s="253" t="str">
        <f>IF(I17&lt;0,"Add cations/Remove anions", "")</f>
        <v/>
      </c>
      <c r="D17" s="254"/>
      <c r="E17" s="255" t="str">
        <f>IF(I17&gt;0,"Add anions/Remove cations", "")</f>
        <v/>
      </c>
      <c r="F17" s="256"/>
      <c r="G17" s="256"/>
      <c r="H17" s="256" t="str">
        <f>IF(I17=0,"","Unbalance")</f>
        <v/>
      </c>
      <c r="I17" s="52">
        <f>I13+I16</f>
        <v>0</v>
      </c>
      <c r="J17" s="53" t="s">
        <v>507</v>
      </c>
      <c r="K17" s="54">
        <v>0.3</v>
      </c>
      <c r="L17" s="26"/>
      <c r="M17" s="1207"/>
      <c r="N17" s="1207" t="s">
        <v>601</v>
      </c>
      <c r="O17" s="1208"/>
      <c r="P17" s="50"/>
      <c r="Q17" s="26"/>
      <c r="R17" s="26"/>
      <c r="S17" s="26"/>
      <c r="T17" s="26"/>
      <c r="U17" s="26"/>
      <c r="V17" s="26"/>
      <c r="W17" s="26"/>
      <c r="X17" s="26"/>
      <c r="Y17" s="26"/>
      <c r="Z17" s="29"/>
      <c r="AA17" s="29"/>
      <c r="AB17" s="29"/>
      <c r="AC17" s="29"/>
      <c r="AD17" s="29"/>
      <c r="AE17" s="29"/>
      <c r="AF17" s="29"/>
      <c r="AG17" s="29"/>
      <c r="AH17" s="29"/>
    </row>
    <row r="18" spans="1:34" ht="9.9499999999999993" customHeight="1" thickTop="1">
      <c r="A18" s="55"/>
      <c r="B18" s="56"/>
      <c r="C18" s="57"/>
      <c r="D18" s="57"/>
      <c r="E18" s="57"/>
      <c r="F18" s="57"/>
      <c r="G18" s="56"/>
      <c r="H18" s="56"/>
      <c r="I18" s="56"/>
      <c r="J18" s="26"/>
      <c r="K18" s="26"/>
      <c r="L18" s="26"/>
      <c r="M18" s="26"/>
      <c r="N18" s="26"/>
      <c r="O18" s="50"/>
      <c r="P18" s="57"/>
      <c r="Q18" s="26"/>
      <c r="R18" s="26"/>
      <c r="S18" s="26"/>
      <c r="T18" s="26"/>
      <c r="U18" s="26"/>
      <c r="V18" s="26"/>
      <c r="W18" s="26"/>
      <c r="X18" s="26"/>
      <c r="Y18" s="26"/>
      <c r="Z18" s="29"/>
      <c r="AA18" s="29"/>
      <c r="AB18" s="29"/>
      <c r="AC18" s="29"/>
      <c r="AD18" s="29"/>
      <c r="AE18" s="29"/>
      <c r="AF18" s="29"/>
      <c r="AG18" s="29"/>
      <c r="AH18" s="29"/>
    </row>
    <row r="19" spans="1:34" ht="12.75" customHeight="1">
      <c r="A19" s="55"/>
      <c r="B19" s="56"/>
      <c r="C19" s="57"/>
      <c r="D19" s="57"/>
      <c r="E19" s="57"/>
      <c r="F19" s="601"/>
      <c r="G19" s="56"/>
      <c r="H19" s="56"/>
      <c r="I19" s="56"/>
      <c r="J19" s="26"/>
      <c r="K19" s="26"/>
      <c r="L19" s="26"/>
      <c r="M19" s="26"/>
      <c r="N19" s="26"/>
      <c r="O19" s="50"/>
      <c r="P19" s="57"/>
      <c r="Q19" s="26"/>
      <c r="R19" s="26"/>
      <c r="S19" s="26"/>
      <c r="T19" s="26"/>
      <c r="U19" s="26"/>
      <c r="V19" s="26"/>
      <c r="W19" s="26"/>
      <c r="X19" s="26"/>
      <c r="Y19" s="26"/>
      <c r="Z19" s="29"/>
      <c r="AA19" s="29"/>
      <c r="AB19" s="29"/>
      <c r="AC19" s="29"/>
      <c r="AD19" s="29"/>
      <c r="AE19" s="29"/>
      <c r="AF19" s="29"/>
      <c r="AG19" s="29"/>
      <c r="AH19" s="29"/>
    </row>
    <row r="20" spans="1:34" ht="12.75" customHeight="1">
      <c r="A20" s="55"/>
      <c r="B20" s="56"/>
      <c r="C20" s="57"/>
      <c r="D20" s="57"/>
      <c r="E20" s="57"/>
      <c r="F20" s="57"/>
      <c r="G20" s="56"/>
      <c r="H20" s="56"/>
      <c r="I20" s="56"/>
      <c r="J20" s="26"/>
      <c r="K20" s="26"/>
      <c r="L20" s="26"/>
      <c r="M20" s="26"/>
      <c r="N20" s="26"/>
      <c r="O20" s="50"/>
      <c r="P20" s="57"/>
      <c r="Q20" s="26"/>
      <c r="R20" s="26"/>
      <c r="S20" s="26"/>
      <c r="T20" s="26"/>
      <c r="U20" s="26"/>
      <c r="V20" s="26"/>
      <c r="W20" s="26"/>
      <c r="X20" s="26"/>
      <c r="Y20" s="26"/>
      <c r="Z20" s="29"/>
      <c r="AA20" s="29"/>
      <c r="AB20" s="29"/>
      <c r="AC20" s="29"/>
      <c r="AD20" s="29"/>
      <c r="AE20" s="29"/>
      <c r="AF20" s="29"/>
      <c r="AG20" s="29"/>
      <c r="AH20" s="29"/>
    </row>
    <row r="21" spans="1:34" ht="12.75" customHeight="1" thickBot="1">
      <c r="A21" s="58"/>
      <c r="B21" s="59"/>
      <c r="C21" s="57"/>
      <c r="D21" s="57"/>
      <c r="E21" s="57"/>
      <c r="F21" s="57"/>
      <c r="G21" s="57"/>
      <c r="H21" s="57"/>
      <c r="I21" s="57"/>
      <c r="J21" s="26"/>
      <c r="K21" s="26"/>
      <c r="L21" s="26"/>
      <c r="M21" s="60"/>
      <c r="N21" s="26"/>
      <c r="O21" s="26"/>
      <c r="P21" s="26"/>
      <c r="Q21" s="26"/>
      <c r="R21" s="26"/>
      <c r="S21" s="26"/>
      <c r="T21" s="26"/>
      <c r="U21" s="26"/>
      <c r="V21" s="26"/>
      <c r="W21" s="26"/>
      <c r="X21" s="26"/>
      <c r="Y21" s="26"/>
      <c r="Z21" s="29"/>
      <c r="AA21" s="1108"/>
      <c r="AB21" s="1108"/>
      <c r="AC21" s="1108"/>
      <c r="AD21" s="1108"/>
      <c r="AE21" s="1108"/>
      <c r="AF21" s="1108"/>
      <c r="AG21" s="29"/>
      <c r="AH21" s="29"/>
    </row>
    <row r="22" spans="1:34" ht="15.75" customHeight="1" thickTop="1">
      <c r="A22" s="61" t="s">
        <v>16</v>
      </c>
      <c r="B22" s="62"/>
      <c r="C22" s="63"/>
      <c r="D22" s="62"/>
      <c r="E22" s="62"/>
      <c r="F22" s="62"/>
      <c r="G22" s="63"/>
      <c r="H22" s="63"/>
      <c r="I22" s="1153"/>
      <c r="J22" s="1209" t="s">
        <v>792</v>
      </c>
      <c r="K22" s="65"/>
      <c r="L22" s="66"/>
      <c r="M22" s="67">
        <f>E26</f>
        <v>9.9500751682789185E-2</v>
      </c>
      <c r="N22" s="68"/>
      <c r="O22" s="68"/>
      <c r="P22" s="68"/>
      <c r="Q22" s="68"/>
      <c r="R22" s="25" t="s">
        <v>798</v>
      </c>
      <c r="S22" s="65"/>
      <c r="T22" s="66"/>
      <c r="U22" s="66"/>
      <c r="V22" s="66"/>
      <c r="W22" s="67">
        <f>$E$26</f>
        <v>9.9500751682789185E-2</v>
      </c>
      <c r="X22" s="67"/>
      <c r="Y22" s="69"/>
      <c r="Z22" s="29"/>
      <c r="AA22" s="1110" t="s">
        <v>1163</v>
      </c>
      <c r="AB22" s="1108"/>
      <c r="AC22" s="1108"/>
      <c r="AD22" s="1108"/>
      <c r="AE22" s="1108"/>
      <c r="AF22" s="1108"/>
      <c r="AG22" s="29"/>
      <c r="AH22" s="29"/>
    </row>
    <row r="23" spans="1:34" s="136" customFormat="1" ht="27.75" customHeight="1">
      <c r="A23" s="560" t="s">
        <v>331</v>
      </c>
      <c r="B23" s="561">
        <v>7.0006187702789102</v>
      </c>
      <c r="C23" s="592" t="s">
        <v>509</v>
      </c>
      <c r="D23" s="562">
        <v>9.9857625427858334E-8</v>
      </c>
      <c r="E23" s="593" t="s">
        <v>757</v>
      </c>
      <c r="F23" s="562">
        <v>1.0083660260938211E-7</v>
      </c>
      <c r="G23" s="563" t="s">
        <v>510</v>
      </c>
      <c r="H23" s="1159">
        <v>6.9963817950151643</v>
      </c>
      <c r="I23" s="1160"/>
      <c r="J23" s="31" t="s">
        <v>593</v>
      </c>
      <c r="K23" s="323" t="str">
        <f>K3</f>
        <v>Phosphoric acid</v>
      </c>
      <c r="L23" s="323" t="str">
        <f t="shared" ref="L23:Q24" si="14">L3</f>
        <v>Acetic acid</v>
      </c>
      <c r="M23" s="323" t="str">
        <f t="shared" si="14"/>
        <v>HCl</v>
      </c>
      <c r="N23" s="323" t="str">
        <f t="shared" si="14"/>
        <v>Carbonic acid</v>
      </c>
      <c r="O23" s="323" t="str">
        <f t="shared" si="14"/>
        <v>Hydroxide ion</v>
      </c>
      <c r="P23" s="323" t="str">
        <f t="shared" si="14"/>
        <v>Ammonia</v>
      </c>
      <c r="Q23" s="323" t="str">
        <f t="shared" si="14"/>
        <v>EDTA</v>
      </c>
      <c r="R23" s="336" t="s">
        <v>593</v>
      </c>
      <c r="S23" s="134" t="str">
        <f>K3</f>
        <v>Phosphoric acid</v>
      </c>
      <c r="T23" s="134" t="str">
        <f t="shared" ref="T23:Y23" si="15">L3</f>
        <v>Acetic acid</v>
      </c>
      <c r="U23" s="134" t="str">
        <f t="shared" si="15"/>
        <v>HCl</v>
      </c>
      <c r="V23" s="134" t="str">
        <f t="shared" si="15"/>
        <v>Carbonic acid</v>
      </c>
      <c r="W23" s="134" t="str">
        <f t="shared" si="15"/>
        <v>Hydroxide ion</v>
      </c>
      <c r="X23" s="134" t="str">
        <f t="shared" si="15"/>
        <v>Ammonia</v>
      </c>
      <c r="Y23" s="224" t="str">
        <f t="shared" si="15"/>
        <v>EDTA</v>
      </c>
      <c r="Z23" s="29"/>
      <c r="AA23" s="1108" t="s">
        <v>1062</v>
      </c>
      <c r="AB23" s="1108"/>
      <c r="AC23" s="1108"/>
      <c r="AD23" s="1108"/>
      <c r="AE23" s="1108"/>
      <c r="AF23" s="1108"/>
      <c r="AG23" s="29"/>
      <c r="AH23" s="29"/>
    </row>
    <row r="24" spans="1:34" ht="17.25" customHeight="1">
      <c r="A24" s="565" t="s">
        <v>511</v>
      </c>
      <c r="B24" s="566">
        <v>6.8937560683116317</v>
      </c>
      <c r="C24" s="567" t="s">
        <v>767</v>
      </c>
      <c r="D24" s="568">
        <v>1.2771559533761944E-7</v>
      </c>
      <c r="E24" s="569" t="s">
        <v>768</v>
      </c>
      <c r="F24" s="568">
        <v>1.2896768581148085E-7</v>
      </c>
      <c r="G24" s="570" t="s">
        <v>512</v>
      </c>
      <c r="H24" s="1161">
        <v>6.8895190930478858</v>
      </c>
      <c r="I24" s="1162"/>
      <c r="J24" s="540" t="s">
        <v>594</v>
      </c>
      <c r="K24" s="606">
        <f>K4</f>
        <v>-3</v>
      </c>
      <c r="L24" s="607">
        <f t="shared" si="14"/>
        <v>-1</v>
      </c>
      <c r="M24" s="607">
        <f t="shared" si="14"/>
        <v>-1</v>
      </c>
      <c r="N24" s="607">
        <f t="shared" si="14"/>
        <v>-2</v>
      </c>
      <c r="O24" s="607">
        <f t="shared" si="14"/>
        <v>-1</v>
      </c>
      <c r="P24" s="607">
        <f t="shared" si="14"/>
        <v>0</v>
      </c>
      <c r="Q24" s="608">
        <f t="shared" si="14"/>
        <v>-4</v>
      </c>
      <c r="R24" s="223" t="s">
        <v>594</v>
      </c>
      <c r="S24" s="603">
        <f t="shared" ref="S24:Y24" si="16">K4</f>
        <v>-3</v>
      </c>
      <c r="T24" s="604">
        <f t="shared" si="16"/>
        <v>-1</v>
      </c>
      <c r="U24" s="604">
        <f t="shared" si="16"/>
        <v>-1</v>
      </c>
      <c r="V24" s="604">
        <f t="shared" si="16"/>
        <v>-2</v>
      </c>
      <c r="W24" s="604">
        <f t="shared" si="16"/>
        <v>-1</v>
      </c>
      <c r="X24" s="604">
        <f t="shared" si="16"/>
        <v>0</v>
      </c>
      <c r="Y24" s="605">
        <f t="shared" si="16"/>
        <v>-4</v>
      </c>
      <c r="Z24" s="29"/>
      <c r="AA24" s="1108" t="s">
        <v>1060</v>
      </c>
      <c r="AB24" s="1108"/>
      <c r="AC24" s="1108"/>
      <c r="AD24" s="1108"/>
      <c r="AE24" s="1108"/>
      <c r="AF24" s="1108"/>
      <c r="AG24" s="29"/>
      <c r="AH24" s="29"/>
    </row>
    <row r="25" spans="1:34" ht="17.25" customHeight="1">
      <c r="A25" s="565" t="s">
        <v>34</v>
      </c>
      <c r="B25" s="566">
        <v>7.3212041738443077</v>
      </c>
      <c r="C25" s="567" t="s">
        <v>769</v>
      </c>
      <c r="D25" s="568">
        <v>4.7730482670581822E-8</v>
      </c>
      <c r="E25" s="569" t="s">
        <v>770</v>
      </c>
      <c r="F25" s="568">
        <v>2.1096169614329777E-7</v>
      </c>
      <c r="G25" s="570" t="s">
        <v>772</v>
      </c>
      <c r="H25" s="1161">
        <v>6.6757963914497687</v>
      </c>
      <c r="I25" s="1162"/>
      <c r="J25" s="72" t="s">
        <v>533</v>
      </c>
      <c r="K25" s="73">
        <v>11.708824286973341</v>
      </c>
      <c r="L25" s="73">
        <v>4.543274788185462</v>
      </c>
      <c r="M25" s="73">
        <v>-7.2137256866421744</v>
      </c>
      <c r="N25" s="73">
        <v>9.9015496092861692</v>
      </c>
      <c r="O25" s="73">
        <v>15.531275231955648</v>
      </c>
      <c r="P25" s="73">
        <v>9.2440003733356022</v>
      </c>
      <c r="Q25" s="74">
        <v>9.3150987949955528</v>
      </c>
      <c r="R25" s="1163" t="s">
        <v>541</v>
      </c>
      <c r="S25" s="22">
        <v>511474296994.56995</v>
      </c>
      <c r="T25" s="22">
        <v>34936.114694678938</v>
      </c>
      <c r="U25" s="22">
        <v>6.1132844611895118E-8</v>
      </c>
      <c r="V25" s="22">
        <v>7971668115.0200691</v>
      </c>
      <c r="W25" s="22">
        <v>3398400857880251</v>
      </c>
      <c r="X25" s="22">
        <v>1753880501.8417609</v>
      </c>
      <c r="Y25" s="34">
        <v>2065848260.415817</v>
      </c>
      <c r="Z25" s="29"/>
      <c r="AA25" s="1108" t="s">
        <v>1061</v>
      </c>
      <c r="AB25" s="1108"/>
      <c r="AC25" s="1108"/>
      <c r="AD25" s="1108"/>
      <c r="AE25" s="1108"/>
      <c r="AF25" s="1108"/>
      <c r="AG25" s="29"/>
      <c r="AH25" s="29"/>
    </row>
    <row r="26" spans="1:34" ht="17.25" customHeight="1">
      <c r="A26" s="590" t="s">
        <v>508</v>
      </c>
      <c r="B26" s="579">
        <v>0.78187495555168618</v>
      </c>
      <c r="C26" s="580" t="s">
        <v>776</v>
      </c>
      <c r="D26" s="581"/>
      <c r="E26" s="582">
        <v>9.9500751682789185E-2</v>
      </c>
      <c r="F26" s="583"/>
      <c r="G26" s="571" t="s">
        <v>758</v>
      </c>
      <c r="H26" s="579">
        <v>0.78187495555168618</v>
      </c>
      <c r="I26" s="1164"/>
      <c r="J26" s="75" t="s">
        <v>534</v>
      </c>
      <c r="K26" s="73">
        <v>6.7715494828754776</v>
      </c>
      <c r="L26" s="73"/>
      <c r="M26" s="73"/>
      <c r="N26" s="73">
        <v>6.1382748526024136</v>
      </c>
      <c r="O26" s="73"/>
      <c r="P26" s="73"/>
      <c r="Q26" s="74">
        <v>5.4688240349596926</v>
      </c>
      <c r="R26" s="1163" t="s">
        <v>542</v>
      </c>
      <c r="S26" s="22">
        <v>3.022546726541886E+18</v>
      </c>
      <c r="T26" s="22"/>
      <c r="U26" s="22"/>
      <c r="V26" s="22">
        <v>1.0960334637441574E+16</v>
      </c>
      <c r="W26" s="22"/>
      <c r="X26" s="22"/>
      <c r="Y26" s="34">
        <v>608026115083652.5</v>
      </c>
      <c r="Z26" s="29"/>
      <c r="AA26" s="1108"/>
      <c r="AB26" s="1108"/>
      <c r="AC26" s="1108"/>
      <c r="AD26" s="1108"/>
      <c r="AE26" s="1108"/>
      <c r="AF26" s="1108"/>
      <c r="AG26" s="29"/>
      <c r="AH26" s="29"/>
    </row>
    <row r="27" spans="1:34" ht="18" customHeight="1">
      <c r="A27" s="27" t="s">
        <v>784</v>
      </c>
      <c r="B27" s="28"/>
      <c r="C27" s="28"/>
      <c r="D27" s="278" t="s">
        <v>783</v>
      </c>
      <c r="E27" s="539">
        <v>2.6247987897922681E-2</v>
      </c>
      <c r="F27" s="28" t="s">
        <v>775</v>
      </c>
      <c r="G27" s="28"/>
      <c r="H27" s="582">
        <v>1.1399356765514707E-2</v>
      </c>
      <c r="I27" s="1164"/>
      <c r="J27" s="75" t="s">
        <v>535</v>
      </c>
      <c r="K27" s="73">
        <v>1.9342746828162951</v>
      </c>
      <c r="L27" s="73"/>
      <c r="M27" s="73"/>
      <c r="N27" s="73"/>
      <c r="O27" s="73"/>
      <c r="P27" s="73"/>
      <c r="Q27" s="74">
        <v>2.2525493003675172</v>
      </c>
      <c r="R27" s="1163" t="s">
        <v>543</v>
      </c>
      <c r="S27" s="22">
        <v>2.5980507374884399E+20</v>
      </c>
      <c r="T27" s="22"/>
      <c r="U27" s="22"/>
      <c r="V27" s="22"/>
      <c r="W27" s="22"/>
      <c r="X27" s="22"/>
      <c r="Y27" s="34">
        <v>1.0876056180387254E+17</v>
      </c>
      <c r="Z27" s="29"/>
      <c r="AA27" s="1108" t="s">
        <v>1057</v>
      </c>
      <c r="AB27" s="1108"/>
      <c r="AC27" s="1108"/>
      <c r="AD27" s="1108"/>
      <c r="AE27" s="1108"/>
      <c r="AF27" s="1108"/>
      <c r="AG27" s="29"/>
      <c r="AH27" s="29"/>
    </row>
    <row r="28" spans="1:34" ht="17.25" customHeight="1">
      <c r="A28" s="541" t="s">
        <v>782</v>
      </c>
      <c r="B28" s="78"/>
      <c r="C28" s="78"/>
      <c r="D28" s="78"/>
      <c r="E28" s="542"/>
      <c r="F28" s="79"/>
      <c r="G28" s="589">
        <f>B23</f>
        <v>7.0006187702789102</v>
      </c>
      <c r="H28" s="78"/>
      <c r="I28" s="1164"/>
      <c r="J28" s="75" t="s">
        <v>536</v>
      </c>
      <c r="K28" s="73"/>
      <c r="L28" s="73"/>
      <c r="M28" s="73"/>
      <c r="N28" s="73"/>
      <c r="O28" s="73"/>
      <c r="P28" s="73"/>
      <c r="Q28" s="74">
        <v>1.7862746768390481</v>
      </c>
      <c r="R28" s="1163" t="s">
        <v>544</v>
      </c>
      <c r="S28" s="22"/>
      <c r="T28" s="22"/>
      <c r="U28" s="22"/>
      <c r="V28" s="22"/>
      <c r="W28" s="22"/>
      <c r="X28" s="22"/>
      <c r="Y28" s="34">
        <v>6.6488425246585559E+18</v>
      </c>
      <c r="Z28" s="29"/>
      <c r="AA28" s="1108" t="s">
        <v>1077</v>
      </c>
      <c r="AB28" s="1108"/>
      <c r="AC28" s="1108"/>
      <c r="AD28" s="1108"/>
      <c r="AE28" s="1108"/>
      <c r="AF28" s="1108"/>
      <c r="AG28" s="29"/>
      <c r="AH28" s="29"/>
    </row>
    <row r="29" spans="1:34" ht="27" customHeight="1">
      <c r="A29" s="30" t="s">
        <v>593</v>
      </c>
      <c r="B29" s="323" t="str">
        <f t="shared" ref="B29:H29" si="17">K3</f>
        <v>Phosphoric acid</v>
      </c>
      <c r="C29" s="323" t="str">
        <f t="shared" si="17"/>
        <v>Acetic acid</v>
      </c>
      <c r="D29" s="323" t="str">
        <f t="shared" si="17"/>
        <v>HCl</v>
      </c>
      <c r="E29" s="323" t="str">
        <f t="shared" si="17"/>
        <v>Carbonic acid</v>
      </c>
      <c r="F29" s="323" t="str">
        <f t="shared" si="17"/>
        <v>Hydroxide ion</v>
      </c>
      <c r="G29" s="323" t="str">
        <f t="shared" si="17"/>
        <v>Ammonia</v>
      </c>
      <c r="H29" s="1165" t="str">
        <f t="shared" si="17"/>
        <v>EDTA</v>
      </c>
      <c r="I29" s="1164"/>
      <c r="J29" s="602" t="s">
        <v>537</v>
      </c>
      <c r="K29" s="73"/>
      <c r="L29" s="73"/>
      <c r="M29" s="73"/>
      <c r="N29" s="73"/>
      <c r="O29" s="73"/>
      <c r="P29" s="73"/>
      <c r="Q29" s="74">
        <v>1.500000060580204</v>
      </c>
      <c r="R29" s="1166" t="s">
        <v>545</v>
      </c>
      <c r="S29" s="22"/>
      <c r="T29" s="22"/>
      <c r="U29" s="22"/>
      <c r="V29" s="22"/>
      <c r="W29" s="22"/>
      <c r="X29" s="22"/>
      <c r="Y29" s="34">
        <v>2.1025486181705286E+20</v>
      </c>
      <c r="Z29" s="29"/>
      <c r="AA29" s="1108" t="s">
        <v>1078</v>
      </c>
      <c r="AB29" s="1108"/>
      <c r="AC29" s="1108"/>
      <c r="AD29" s="1108"/>
      <c r="AE29" s="1108"/>
      <c r="AF29" s="1108"/>
      <c r="AG29" s="29"/>
      <c r="AH29" s="29"/>
    </row>
    <row r="30" spans="1:34" ht="18" customHeight="1" thickBot="1">
      <c r="A30" s="576" t="s">
        <v>773</v>
      </c>
      <c r="B30" s="577">
        <v>-1.5698924464219046</v>
      </c>
      <c r="C30" s="578">
        <v>-0.995557933315949</v>
      </c>
      <c r="D30" s="578">
        <v>-0.99999999999999223</v>
      </c>
      <c r="E30" s="578">
        <v>-0.8515907136791272</v>
      </c>
      <c r="F30" s="578">
        <v>-2.3039946617231521E-9</v>
      </c>
      <c r="G30" s="578">
        <v>0.99555551391968078</v>
      </c>
      <c r="H30" s="578">
        <v>-2.9675419732131836</v>
      </c>
      <c r="I30" s="1164"/>
      <c r="J30" s="1152" t="s">
        <v>538</v>
      </c>
      <c r="K30" s="76"/>
      <c r="L30" s="76"/>
      <c r="M30" s="544"/>
      <c r="N30" s="544"/>
      <c r="O30" s="544"/>
      <c r="P30" s="544"/>
      <c r="Q30" s="545">
        <v>0.21372540393455688</v>
      </c>
      <c r="R30" s="1166" t="s">
        <v>546</v>
      </c>
      <c r="S30" s="37"/>
      <c r="T30" s="22"/>
      <c r="U30" s="22"/>
      <c r="V30" s="22"/>
      <c r="W30" s="22"/>
      <c r="X30" s="22"/>
      <c r="Y30" s="34">
        <v>3.4393109489974844E+20</v>
      </c>
      <c r="Z30" s="29"/>
      <c r="AA30" s="1108" t="s">
        <v>1085</v>
      </c>
      <c r="AB30" s="1108"/>
      <c r="AC30" s="1108"/>
      <c r="AD30" s="1108"/>
      <c r="AE30" s="1108"/>
      <c r="AF30" s="1108"/>
      <c r="AG30" s="29"/>
      <c r="AH30" s="29"/>
    </row>
    <row r="31" spans="1:34" ht="17.25" customHeight="1" thickTop="1" thickBot="1">
      <c r="A31" s="576" t="s">
        <v>774</v>
      </c>
      <c r="B31" s="1252">
        <v>1.4301075535780954</v>
      </c>
      <c r="C31" s="1154">
        <v>4.4420666840509848E-3</v>
      </c>
      <c r="D31" s="1154">
        <v>7.807617635918784E-15</v>
      </c>
      <c r="E31" s="1154">
        <v>1.1484092863208728</v>
      </c>
      <c r="F31" s="1154">
        <v>0.99999999769600534</v>
      </c>
      <c r="G31" s="1154">
        <v>0.99555551391968078</v>
      </c>
      <c r="H31" s="1154">
        <v>1.0324580267868166</v>
      </c>
      <c r="I31" s="1167"/>
      <c r="J31" s="1168" t="s">
        <v>539</v>
      </c>
      <c r="K31" s="1169">
        <v>13.783275161359517</v>
      </c>
      <c r="L31" s="1253"/>
      <c r="M31" s="1254"/>
      <c r="N31" s="751"/>
      <c r="O31" s="751"/>
      <c r="P31" s="751"/>
      <c r="Q31" s="1255"/>
      <c r="R31" s="1256" t="s">
        <v>540</v>
      </c>
      <c r="S31" s="1257">
        <v>1.6471205867228278E-14</v>
      </c>
      <c r="T31" s="377"/>
      <c r="U31" s="376"/>
      <c r="V31" s="372"/>
      <c r="W31" s="372"/>
      <c r="X31" s="372"/>
      <c r="Y31" s="372"/>
      <c r="Z31" s="29"/>
      <c r="AA31" s="1108" t="s">
        <v>1104</v>
      </c>
      <c r="AB31" s="1108"/>
      <c r="AC31" s="1108"/>
      <c r="AD31" s="1108"/>
      <c r="AE31" s="1108"/>
      <c r="AF31" s="1108"/>
      <c r="AG31" s="29"/>
      <c r="AH31" s="29"/>
    </row>
    <row r="32" spans="1:34" ht="15.75" customHeight="1" thickTop="1">
      <c r="A32" s="1234" t="s">
        <v>18</v>
      </c>
      <c r="B32" s="28"/>
      <c r="C32" s="28"/>
      <c r="D32" s="64"/>
      <c r="E32" s="64"/>
      <c r="F32" s="64"/>
      <c r="G32" s="64"/>
      <c r="H32" s="64"/>
      <c r="I32" s="64"/>
      <c r="J32" s="1170" t="s">
        <v>20</v>
      </c>
      <c r="K32" s="1171"/>
      <c r="L32" s="1171"/>
      <c r="M32" s="1172"/>
      <c r="N32" s="1173" t="s">
        <v>791</v>
      </c>
      <c r="O32" s="1174">
        <f>B23</f>
        <v>7.0006187702789102</v>
      </c>
      <c r="P32" s="1175" t="s">
        <v>793</v>
      </c>
      <c r="Q32" s="1176">
        <f>E26</f>
        <v>9.9500751682789185E-2</v>
      </c>
      <c r="R32" s="84"/>
      <c r="S32" s="26"/>
      <c r="T32" s="26"/>
      <c r="U32" s="26"/>
      <c r="V32" s="26"/>
      <c r="W32" s="26"/>
      <c r="X32" s="26"/>
      <c r="Y32" s="26"/>
      <c r="Z32" s="29"/>
      <c r="AA32" s="1108" t="s">
        <v>1105</v>
      </c>
      <c r="AB32" s="1108"/>
      <c r="AC32" s="1108"/>
      <c r="AD32" s="1108"/>
      <c r="AE32" s="1108"/>
      <c r="AF32" s="1108"/>
      <c r="AG32" s="29"/>
      <c r="AH32" s="29"/>
    </row>
    <row r="33" spans="1:34" s="136" customFormat="1" ht="27" customHeight="1">
      <c r="A33" s="30" t="s">
        <v>17</v>
      </c>
      <c r="B33" s="323" t="str">
        <f t="shared" ref="B33:H33" si="18">K3</f>
        <v>Phosphoric acid</v>
      </c>
      <c r="C33" s="323" t="str">
        <f t="shared" si="18"/>
        <v>Acetic acid</v>
      </c>
      <c r="D33" s="323" t="str">
        <f t="shared" si="18"/>
        <v>HCl</v>
      </c>
      <c r="E33" s="323" t="str">
        <f t="shared" si="18"/>
        <v>Carbonic acid</v>
      </c>
      <c r="F33" s="323" t="str">
        <f t="shared" si="18"/>
        <v>Hydroxide ion</v>
      </c>
      <c r="G33" s="323" t="str">
        <f t="shared" si="18"/>
        <v>Ammonia</v>
      </c>
      <c r="H33" s="323" t="str">
        <f t="shared" si="18"/>
        <v>EDTA</v>
      </c>
      <c r="I33" s="547" t="s">
        <v>513</v>
      </c>
      <c r="J33" s="30" t="s">
        <v>21</v>
      </c>
      <c r="K33" s="323" t="str">
        <f t="shared" ref="K33:Q33" si="19">K3</f>
        <v>Phosphoric acid</v>
      </c>
      <c r="L33" s="323" t="str">
        <f t="shared" si="19"/>
        <v>Acetic acid</v>
      </c>
      <c r="M33" s="323" t="str">
        <f t="shared" si="19"/>
        <v>HCl</v>
      </c>
      <c r="N33" s="323" t="str">
        <f t="shared" si="19"/>
        <v>Carbonic acid</v>
      </c>
      <c r="O33" s="323" t="str">
        <f t="shared" si="19"/>
        <v>Hydroxide ion</v>
      </c>
      <c r="P33" s="323" t="str">
        <f t="shared" si="19"/>
        <v>Ammonia</v>
      </c>
      <c r="Q33" s="1156" t="str">
        <f t="shared" si="19"/>
        <v>EDTA</v>
      </c>
      <c r="R33" s="84"/>
      <c r="S33" s="29"/>
      <c r="T33" s="572"/>
      <c r="U33" s="572"/>
      <c r="V33" s="572"/>
      <c r="W33" s="573"/>
      <c r="X33" s="572"/>
      <c r="Y33" s="572"/>
      <c r="Z33" s="29"/>
      <c r="AA33" s="1108" t="s">
        <v>1086</v>
      </c>
      <c r="AB33" s="1108"/>
      <c r="AC33" s="1108"/>
      <c r="AD33" s="1108"/>
      <c r="AE33" s="1108"/>
      <c r="AF33" s="1108"/>
      <c r="AG33" s="29"/>
      <c r="AH33" s="29"/>
    </row>
    <row r="34" spans="1:34" ht="15.75" customHeight="1">
      <c r="A34" s="528" t="s">
        <v>332</v>
      </c>
      <c r="B34" s="70">
        <v>4.0566581283886205E-7</v>
      </c>
      <c r="C34" s="70"/>
      <c r="D34" s="70"/>
      <c r="E34" s="70"/>
      <c r="F34" s="70"/>
      <c r="G34" s="70"/>
      <c r="H34" s="221"/>
      <c r="I34" s="1155">
        <f>D24</f>
        <v>1.2771559533761944E-7</v>
      </c>
      <c r="J34" s="530" t="s">
        <v>524</v>
      </c>
      <c r="K34" s="73">
        <v>0.10920328961081206</v>
      </c>
      <c r="L34" s="73">
        <v>0.78187495555168618</v>
      </c>
      <c r="M34" s="73">
        <v>0.78187495555168618</v>
      </c>
      <c r="N34" s="73">
        <v>0.37372246903421158</v>
      </c>
      <c r="O34" s="73">
        <v>0.78187495555168618</v>
      </c>
      <c r="P34" s="73">
        <v>1</v>
      </c>
      <c r="Q34" s="1157">
        <v>1.9507285384038019E-2</v>
      </c>
      <c r="R34" s="84"/>
      <c r="S34" s="84"/>
      <c r="T34" s="572"/>
      <c r="U34" s="572"/>
      <c r="V34" s="572"/>
      <c r="W34" s="573"/>
      <c r="X34" s="572"/>
      <c r="Y34" s="572"/>
      <c r="Z34" s="29"/>
      <c r="AA34" s="1108" t="s">
        <v>1087</v>
      </c>
      <c r="AB34" s="1108"/>
      <c r="AC34" s="1108"/>
      <c r="AD34" s="1108"/>
      <c r="AE34" s="1108"/>
      <c r="AF34" s="1108"/>
      <c r="AG34" s="29"/>
      <c r="AH34" s="29"/>
    </row>
    <row r="35" spans="1:34" ht="15.75" customHeight="1">
      <c r="A35" s="529" t="s">
        <v>333</v>
      </c>
      <c r="B35" s="70">
        <v>2.649940698426825E-2</v>
      </c>
      <c r="C35" s="70"/>
      <c r="D35" s="70"/>
      <c r="E35" s="70"/>
      <c r="F35" s="70"/>
      <c r="G35" s="70"/>
      <c r="H35" s="574"/>
      <c r="I35" s="575"/>
      <c r="J35" s="531" t="s">
        <v>525</v>
      </c>
      <c r="K35" s="73">
        <v>0.37372246903421158</v>
      </c>
      <c r="L35" s="73">
        <v>1</v>
      </c>
      <c r="M35" s="73">
        <v>1</v>
      </c>
      <c r="N35" s="73">
        <v>0.78187495555168618</v>
      </c>
      <c r="O35" s="73">
        <v>1</v>
      </c>
      <c r="P35" s="73">
        <v>0.78187495555168618</v>
      </c>
      <c r="Q35" s="1157">
        <v>0.10920328961081206</v>
      </c>
      <c r="R35" s="84"/>
      <c r="S35" s="84"/>
      <c r="T35" s="572"/>
      <c r="U35" s="572"/>
      <c r="V35" s="572"/>
      <c r="W35" s="573"/>
      <c r="X35" s="572"/>
      <c r="Y35" s="572"/>
      <c r="Z35" s="29"/>
      <c r="AA35" s="1108" t="s">
        <v>1088</v>
      </c>
      <c r="AB35" s="1108"/>
      <c r="AC35" s="1108"/>
      <c r="AD35" s="1108"/>
      <c r="AE35" s="1108"/>
      <c r="AF35" s="1108"/>
      <c r="AG35" s="29"/>
      <c r="AH35" s="29"/>
    </row>
    <row r="36" spans="1:34" ht="15.75" customHeight="1">
      <c r="A36" s="529" t="s">
        <v>488</v>
      </c>
      <c r="B36" s="70">
        <v>1.9999967792643555E-2</v>
      </c>
      <c r="C36" s="70"/>
      <c r="D36" s="70"/>
      <c r="E36" s="70"/>
      <c r="F36" s="70"/>
      <c r="G36" s="70"/>
      <c r="H36" s="71"/>
      <c r="I36" s="547" t="s">
        <v>514</v>
      </c>
      <c r="J36" s="531" t="s">
        <v>526</v>
      </c>
      <c r="K36" s="73">
        <v>0.78187495555168618</v>
      </c>
      <c r="L36" s="73"/>
      <c r="M36" s="73"/>
      <c r="N36" s="73">
        <v>1</v>
      </c>
      <c r="O36" s="73"/>
      <c r="P36" s="73"/>
      <c r="Q36" s="1157">
        <v>0.37372246903421158</v>
      </c>
      <c r="R36" s="84"/>
      <c r="S36" s="84"/>
      <c r="T36" s="572"/>
      <c r="U36" s="572"/>
      <c r="V36" s="572"/>
      <c r="W36" s="573"/>
      <c r="X36" s="572"/>
      <c r="Y36" s="572"/>
      <c r="Z36" s="29"/>
      <c r="AA36" s="1108" t="s">
        <v>1089</v>
      </c>
      <c r="AB36" s="1108"/>
      <c r="AC36" s="1108"/>
      <c r="AD36" s="1108"/>
      <c r="AE36" s="1108"/>
      <c r="AF36" s="1108"/>
      <c r="AG36" s="29"/>
      <c r="AH36" s="29"/>
    </row>
    <row r="37" spans="1:34" ht="15.75" customHeight="1">
      <c r="A37" s="529" t="s">
        <v>490</v>
      </c>
      <c r="B37" s="70">
        <v>2.1955727535819438E-7</v>
      </c>
      <c r="C37" s="70"/>
      <c r="D37" s="70"/>
      <c r="E37" s="70"/>
      <c r="F37" s="70"/>
      <c r="G37" s="70"/>
      <c r="H37" s="574"/>
      <c r="I37" s="1177">
        <f>F24</f>
        <v>1.2896768581148085E-7</v>
      </c>
      <c r="J37" s="531" t="s">
        <v>527</v>
      </c>
      <c r="K37" s="73">
        <v>1</v>
      </c>
      <c r="L37" s="73"/>
      <c r="M37" s="73"/>
      <c r="N37" s="73"/>
      <c r="O37" s="73"/>
      <c r="P37" s="73"/>
      <c r="Q37" s="1157">
        <v>0.78187495555168618</v>
      </c>
      <c r="R37" s="84"/>
      <c r="S37" s="84"/>
      <c r="T37" s="572"/>
      <c r="U37" s="572"/>
      <c r="V37" s="572"/>
      <c r="W37" s="573"/>
      <c r="X37" s="572"/>
      <c r="Y37" s="572"/>
      <c r="Z37" s="29"/>
      <c r="AA37" s="1108"/>
      <c r="AB37" s="1108"/>
      <c r="AC37" s="1108"/>
      <c r="AD37" s="1108"/>
      <c r="AE37" s="1108"/>
      <c r="AF37" s="1108"/>
      <c r="AG37" s="29"/>
      <c r="AH37" s="29"/>
    </row>
    <row r="38" spans="1:34" ht="15.75" customHeight="1">
      <c r="A38" s="529" t="s">
        <v>315</v>
      </c>
      <c r="B38" s="70"/>
      <c r="C38" s="70"/>
      <c r="D38" s="70"/>
      <c r="E38" s="70"/>
      <c r="F38" s="70"/>
      <c r="G38" s="70"/>
      <c r="H38" s="574"/>
      <c r="I38" s="1178"/>
      <c r="J38" s="531" t="s">
        <v>528</v>
      </c>
      <c r="K38" s="73"/>
      <c r="L38" s="73"/>
      <c r="M38" s="73"/>
      <c r="N38" s="73"/>
      <c r="O38" s="73"/>
      <c r="P38" s="73"/>
      <c r="Q38" s="1157">
        <v>1</v>
      </c>
      <c r="R38" s="84"/>
      <c r="S38" s="84"/>
      <c r="T38" s="572"/>
      <c r="U38" s="572"/>
      <c r="V38" s="572"/>
      <c r="W38" s="573"/>
      <c r="X38" s="572"/>
      <c r="Y38" s="572"/>
      <c r="Z38" s="29"/>
      <c r="AA38" s="1108" t="s">
        <v>1059</v>
      </c>
      <c r="AB38" s="1108"/>
      <c r="AC38" s="1108"/>
      <c r="AD38" s="1108"/>
      <c r="AE38" s="1108"/>
      <c r="AF38" s="1108"/>
      <c r="AG38" s="29"/>
      <c r="AH38" s="29"/>
    </row>
    <row r="39" spans="1:34" ht="15.75" customHeight="1">
      <c r="A39" s="529" t="s">
        <v>494</v>
      </c>
      <c r="B39" s="70"/>
      <c r="C39" s="70"/>
      <c r="D39" s="70"/>
      <c r="E39" s="70"/>
      <c r="F39" s="70"/>
      <c r="G39" s="70"/>
      <c r="H39" s="574"/>
      <c r="I39" s="1179"/>
      <c r="J39" s="531" t="s">
        <v>529</v>
      </c>
      <c r="K39" s="73"/>
      <c r="L39" s="73"/>
      <c r="M39" s="73"/>
      <c r="N39" s="73"/>
      <c r="O39" s="73"/>
      <c r="P39" s="73"/>
      <c r="Q39" s="1157">
        <v>0.78187495555168618</v>
      </c>
      <c r="R39" s="84"/>
      <c r="S39" s="84"/>
      <c r="T39" s="26"/>
      <c r="U39" s="26"/>
      <c r="V39" s="26"/>
      <c r="W39" s="26"/>
      <c r="X39" s="26"/>
      <c r="Y39" s="26"/>
      <c r="Z39" s="29"/>
      <c r="AA39" s="1108" t="s">
        <v>1057</v>
      </c>
      <c r="AB39" s="1108"/>
      <c r="AC39" s="1108"/>
      <c r="AD39" s="1108"/>
      <c r="AE39" s="1108"/>
      <c r="AF39" s="1108"/>
      <c r="AG39" s="29"/>
      <c r="AH39" s="29"/>
    </row>
    <row r="40" spans="1:34" ht="15.75" customHeight="1">
      <c r="A40" s="529" t="s">
        <v>316</v>
      </c>
      <c r="B40" s="70"/>
      <c r="C40" s="70"/>
      <c r="D40" s="70"/>
      <c r="E40" s="70"/>
      <c r="F40" s="70"/>
      <c r="G40" s="70"/>
      <c r="H40" s="71"/>
      <c r="I40" s="548" t="s">
        <v>345</v>
      </c>
      <c r="J40" s="1235" t="s">
        <v>530</v>
      </c>
      <c r="K40" s="73"/>
      <c r="L40" s="73"/>
      <c r="M40" s="73"/>
      <c r="N40" s="73"/>
      <c r="O40" s="73"/>
      <c r="P40" s="73"/>
      <c r="Q40" s="1157">
        <v>0.37372246903421158</v>
      </c>
      <c r="R40" s="84"/>
      <c r="S40" s="84"/>
      <c r="T40" s="26"/>
      <c r="U40" s="26"/>
      <c r="V40" s="26"/>
      <c r="W40" s="26"/>
      <c r="X40" s="26"/>
      <c r="Y40" s="26"/>
      <c r="Z40" s="29"/>
      <c r="AA40" s="1108" t="s">
        <v>1090</v>
      </c>
      <c r="AB40" s="1108"/>
      <c r="AC40" s="1108"/>
      <c r="AD40" s="1108"/>
      <c r="AE40" s="1108"/>
      <c r="AF40" s="1108"/>
      <c r="AG40" s="29"/>
      <c r="AH40" s="29"/>
    </row>
    <row r="41" spans="1:34" ht="15.75" customHeight="1">
      <c r="A41" s="1236" t="s">
        <v>515</v>
      </c>
      <c r="B41" s="1237">
        <f>B34+B35+B36+B37+B38+B39+B40</f>
        <v>4.65E-2</v>
      </c>
      <c r="C41" s="203">
        <f t="shared" ref="C41:H41" si="20">C34+C35+C36+C37+C38+C39+C40</f>
        <v>0</v>
      </c>
      <c r="D41" s="203">
        <f t="shared" si="20"/>
        <v>0</v>
      </c>
      <c r="E41" s="203">
        <f t="shared" si="20"/>
        <v>0</v>
      </c>
      <c r="F41" s="203">
        <f t="shared" si="20"/>
        <v>0</v>
      </c>
      <c r="G41" s="203">
        <f t="shared" si="20"/>
        <v>0</v>
      </c>
      <c r="H41" s="203">
        <f t="shared" si="20"/>
        <v>0</v>
      </c>
      <c r="I41" s="1180">
        <f>SUM(B41:H41)</f>
        <v>4.65E-2</v>
      </c>
      <c r="J41" s="1238"/>
      <c r="K41" s="1239"/>
      <c r="L41" s="1239"/>
      <c r="M41" s="1239"/>
      <c r="N41" s="1239"/>
      <c r="O41" s="1239"/>
      <c r="P41" s="1239"/>
      <c r="Q41" s="1240"/>
      <c r="R41" s="84"/>
      <c r="S41" s="84"/>
      <c r="T41" s="26"/>
      <c r="U41" s="26"/>
      <c r="V41" s="26"/>
      <c r="W41" s="26"/>
      <c r="X41" s="26"/>
      <c r="Y41" s="26"/>
      <c r="Z41" s="29"/>
      <c r="AA41" s="1108" t="s">
        <v>1091</v>
      </c>
      <c r="AB41" s="1108"/>
      <c r="AC41" s="1108"/>
      <c r="AD41" s="1108"/>
      <c r="AE41" s="1108"/>
      <c r="AF41" s="1108"/>
      <c r="AG41" s="29"/>
      <c r="AH41" s="29"/>
    </row>
    <row r="42" spans="1:34" ht="15.75" customHeight="1">
      <c r="A42" s="541" t="s">
        <v>19</v>
      </c>
      <c r="B42" s="1241"/>
      <c r="C42" s="1241"/>
      <c r="D42" s="1242"/>
      <c r="E42" s="1243" t="s">
        <v>790</v>
      </c>
      <c r="F42" s="78">
        <f>B23</f>
        <v>7.0006187702789102</v>
      </c>
      <c r="G42" s="79" t="s">
        <v>771</v>
      </c>
      <c r="H42" s="1233">
        <f>$B$24</f>
        <v>6.8937560683116317</v>
      </c>
      <c r="I42" s="1244"/>
      <c r="J42" s="47" t="s">
        <v>591</v>
      </c>
      <c r="K42" s="86" t="str">
        <f t="shared" ref="K42:Q42" si="21">K11</f>
        <v>Na+</v>
      </c>
      <c r="L42" s="86" t="str">
        <f t="shared" si="21"/>
        <v>K+</v>
      </c>
      <c r="M42" s="86" t="str">
        <f t="shared" si="21"/>
        <v>Ca++</v>
      </c>
      <c r="N42" s="86" t="str">
        <f t="shared" si="21"/>
        <v>Cl-</v>
      </c>
      <c r="O42" s="86" t="str">
        <f t="shared" si="21"/>
        <v>NO3-</v>
      </c>
      <c r="P42" s="86" t="str">
        <f t="shared" si="21"/>
        <v>SO4=</v>
      </c>
      <c r="Q42" s="1158" t="str">
        <f t="shared" si="21"/>
        <v>ClO4-</v>
      </c>
      <c r="R42" s="84"/>
      <c r="S42" s="84"/>
      <c r="T42" s="26"/>
      <c r="U42" s="26"/>
      <c r="V42" s="26"/>
      <c r="W42" s="26"/>
      <c r="X42" s="26"/>
      <c r="Y42" s="26"/>
      <c r="Z42" s="29"/>
      <c r="AA42" s="1108" t="s">
        <v>1092</v>
      </c>
      <c r="AB42" s="1108"/>
      <c r="AC42" s="1108"/>
      <c r="AD42" s="1108"/>
      <c r="AE42" s="1108"/>
      <c r="AF42" s="1108"/>
      <c r="AG42" s="29"/>
      <c r="AH42" s="29"/>
    </row>
    <row r="43" spans="1:34" s="136" customFormat="1" ht="27.75" customHeight="1" thickBot="1">
      <c r="A43" s="30" t="s">
        <v>17</v>
      </c>
      <c r="B43" s="323" t="str">
        <f t="shared" ref="B43:H43" si="22">K3</f>
        <v>Phosphoric acid</v>
      </c>
      <c r="C43" s="323" t="str">
        <f t="shared" si="22"/>
        <v>Acetic acid</v>
      </c>
      <c r="D43" s="323" t="str">
        <f t="shared" si="22"/>
        <v>HCl</v>
      </c>
      <c r="E43" s="323" t="str">
        <f t="shared" si="22"/>
        <v>Carbonic acid</v>
      </c>
      <c r="F43" s="323" t="str">
        <f t="shared" si="22"/>
        <v>Hydroxide ion</v>
      </c>
      <c r="G43" s="323" t="str">
        <f t="shared" si="22"/>
        <v>Ammonia</v>
      </c>
      <c r="H43" s="543" t="str">
        <f t="shared" si="22"/>
        <v>EDTA</v>
      </c>
      <c r="I43" s="1160"/>
      <c r="J43" s="1245" t="s">
        <v>531</v>
      </c>
      <c r="K43" s="76">
        <v>0.78187495555168618</v>
      </c>
      <c r="L43" s="76">
        <v>0.78187495555168618</v>
      </c>
      <c r="M43" s="76">
        <v>0.37372246903421158</v>
      </c>
      <c r="N43" s="76">
        <v>0.78187495555168618</v>
      </c>
      <c r="O43" s="76">
        <v>0.78187495555168618</v>
      </c>
      <c r="P43" s="76">
        <v>0.37372246903421158</v>
      </c>
      <c r="Q43" s="1210">
        <v>0.78187495555168618</v>
      </c>
      <c r="R43" s="84"/>
      <c r="S43" s="1246"/>
      <c r="T43" s="135"/>
      <c r="U43" s="135"/>
      <c r="V43" s="135"/>
      <c r="W43" s="135"/>
      <c r="X43" s="135"/>
      <c r="Y43" s="135"/>
      <c r="Z43" s="29"/>
      <c r="AA43" s="1108" t="s">
        <v>1093</v>
      </c>
      <c r="AB43" s="1108"/>
      <c r="AC43" s="1108"/>
      <c r="AD43" s="1108"/>
      <c r="AE43" s="1108"/>
      <c r="AF43" s="1108"/>
      <c r="AG43" s="29"/>
      <c r="AH43" s="29"/>
    </row>
    <row r="44" spans="1:34" ht="15.75" customHeight="1" thickTop="1">
      <c r="A44" s="528" t="s">
        <v>516</v>
      </c>
      <c r="B44" s="81">
        <v>8.7239959750292913E-4</v>
      </c>
      <c r="C44" s="81">
        <v>99.555793331594913</v>
      </c>
      <c r="D44" s="81">
        <v>99.999999999999218</v>
      </c>
      <c r="E44" s="81">
        <v>8.348058255429254E-2</v>
      </c>
      <c r="F44" s="81">
        <v>2.3039946304600247E-7</v>
      </c>
      <c r="G44" s="81">
        <v>0.44444860803191866</v>
      </c>
      <c r="H44" s="549">
        <v>0.36395539124081655</v>
      </c>
      <c r="I44" s="546"/>
      <c r="J44" s="377"/>
      <c r="K44" s="376"/>
      <c r="L44" s="376"/>
      <c r="M44" s="376"/>
      <c r="N44" s="376"/>
      <c r="O44" s="376"/>
      <c r="P44" s="376"/>
      <c r="Q44" s="376"/>
      <c r="R44" s="84"/>
      <c r="S44" s="84"/>
      <c r="T44" s="26"/>
      <c r="U44" s="26"/>
      <c r="V44" s="26"/>
      <c r="W44" s="26"/>
      <c r="X44" s="135"/>
      <c r="Y44" s="135"/>
      <c r="Z44" s="29"/>
      <c r="AA44" s="1108" t="s">
        <v>1094</v>
      </c>
      <c r="AB44" s="1108"/>
      <c r="AC44" s="1108"/>
      <c r="AD44" s="1108"/>
      <c r="AE44" s="1108"/>
      <c r="AF44" s="1108"/>
      <c r="AG44" s="29"/>
      <c r="AH44" s="29"/>
    </row>
    <row r="45" spans="1:34" ht="15.75" customHeight="1">
      <c r="A45" s="529" t="s">
        <v>517</v>
      </c>
      <c r="B45" s="81">
        <v>56.987972009179032</v>
      </c>
      <c r="C45" s="81">
        <v>0.44420666840509848</v>
      </c>
      <c r="D45" s="81">
        <v>7.8076176359187841E-13</v>
      </c>
      <c r="E45" s="81">
        <v>84.992110202804128</v>
      </c>
      <c r="F45" s="81">
        <v>99.999999769600535</v>
      </c>
      <c r="G45" s="81">
        <v>99.555551391968081</v>
      </c>
      <c r="H45" s="549">
        <v>96.026369001655453</v>
      </c>
      <c r="I45" s="546"/>
      <c r="J45" s="84"/>
      <c r="K45" s="84"/>
      <c r="L45" s="84"/>
      <c r="M45" s="84"/>
      <c r="N45" s="84"/>
      <c r="O45" s="84"/>
      <c r="P45" s="84"/>
      <c r="Q45" s="84"/>
      <c r="R45" s="84"/>
      <c r="S45" s="84"/>
      <c r="T45" s="26"/>
      <c r="U45" s="26"/>
      <c r="V45" s="26"/>
      <c r="W45" s="26"/>
      <c r="X45" s="135"/>
      <c r="Y45" s="135"/>
      <c r="Z45" s="29"/>
      <c r="AA45" s="1108" t="s">
        <v>1095</v>
      </c>
      <c r="AB45" s="1108"/>
      <c r="AC45" s="1108"/>
      <c r="AD45" s="1108"/>
      <c r="AE45" s="1108"/>
      <c r="AF45" s="1108"/>
      <c r="AG45" s="29"/>
      <c r="AH45" s="29"/>
    </row>
    <row r="46" spans="1:34" ht="15.75" customHeight="1">
      <c r="A46" s="529" t="s">
        <v>518</v>
      </c>
      <c r="B46" s="81">
        <v>43.0106834250399</v>
      </c>
      <c r="C46" s="81"/>
      <c r="D46" s="81"/>
      <c r="E46" s="81">
        <v>14.924409214641587</v>
      </c>
      <c r="F46" s="81"/>
      <c r="G46" s="81"/>
      <c r="H46" s="549">
        <v>3.6095931449287981</v>
      </c>
      <c r="I46" s="546"/>
      <c r="J46" s="84"/>
      <c r="K46" s="84"/>
      <c r="L46" s="84"/>
      <c r="M46" s="84"/>
      <c r="N46" s="84"/>
      <c r="O46" s="84"/>
      <c r="P46" s="84"/>
      <c r="Q46" s="84"/>
      <c r="R46" s="84"/>
      <c r="S46" s="84"/>
      <c r="T46" s="26"/>
      <c r="U46" s="26"/>
      <c r="V46" s="26"/>
      <c r="W46" s="26"/>
      <c r="X46" s="135"/>
      <c r="Y46" s="135"/>
      <c r="Z46" s="29"/>
      <c r="AA46" s="1108"/>
      <c r="AB46" s="1108"/>
      <c r="AC46" s="1108"/>
      <c r="AD46" s="1108"/>
      <c r="AE46" s="1108"/>
      <c r="AF46" s="1108"/>
      <c r="AG46" s="29"/>
      <c r="AH46" s="29"/>
    </row>
    <row r="47" spans="1:34" ht="15.75" customHeight="1">
      <c r="A47" s="529" t="s">
        <v>519</v>
      </c>
      <c r="B47" s="81">
        <v>4.7216618356600944E-4</v>
      </c>
      <c r="C47" s="81"/>
      <c r="D47" s="81"/>
      <c r="E47" s="81"/>
      <c r="F47" s="81"/>
      <c r="G47" s="81"/>
      <c r="H47" s="549">
        <v>8.2461531098368499E-5</v>
      </c>
      <c r="I47" s="546"/>
      <c r="J47" s="84"/>
      <c r="K47" s="84"/>
      <c r="L47" s="84"/>
      <c r="M47" s="84"/>
      <c r="N47" s="84"/>
      <c r="O47" s="84"/>
      <c r="P47" s="84"/>
      <c r="Q47" s="84"/>
      <c r="R47" s="84"/>
      <c r="S47" s="84"/>
      <c r="T47" s="26"/>
      <c r="U47" s="26"/>
      <c r="V47" s="26"/>
      <c r="W47" s="26"/>
      <c r="X47" s="135"/>
      <c r="Y47" s="135"/>
      <c r="Z47" s="29"/>
      <c r="AA47" s="29"/>
      <c r="AB47" s="29"/>
      <c r="AC47" s="29"/>
      <c r="AD47" s="29"/>
      <c r="AE47" s="29"/>
      <c r="AF47" s="29"/>
      <c r="AG47" s="29"/>
      <c r="AH47" s="29"/>
    </row>
    <row r="48" spans="1:34" ht="15.75" customHeight="1">
      <c r="A48" s="529" t="s">
        <v>520</v>
      </c>
      <c r="B48" s="81"/>
      <c r="C48" s="81"/>
      <c r="D48" s="81"/>
      <c r="E48" s="81"/>
      <c r="F48" s="81"/>
      <c r="G48" s="81"/>
      <c r="H48" s="549">
        <v>6.4382810448849216E-10</v>
      </c>
      <c r="I48" s="546"/>
      <c r="J48" s="84"/>
      <c r="K48" s="84"/>
      <c r="L48" s="84"/>
      <c r="M48" s="84"/>
      <c r="N48" s="84"/>
      <c r="O48" s="84"/>
      <c r="P48" s="84"/>
      <c r="Q48" s="84"/>
      <c r="R48" s="84"/>
      <c r="S48" s="84"/>
      <c r="T48" s="26"/>
      <c r="U48" s="26"/>
      <c r="V48" s="26"/>
      <c r="W48" s="26"/>
      <c r="X48" s="135"/>
      <c r="Y48" s="135"/>
      <c r="Z48" s="29"/>
      <c r="AA48" s="29"/>
      <c r="AB48" s="29"/>
      <c r="AC48" s="29"/>
      <c r="AD48" s="29"/>
      <c r="AE48" s="29"/>
      <c r="AF48" s="29"/>
      <c r="AG48" s="29"/>
      <c r="AH48" s="29"/>
    </row>
    <row r="49" spans="1:34" ht="15.75" customHeight="1">
      <c r="A49" s="529" t="s">
        <v>521</v>
      </c>
      <c r="B49" s="81"/>
      <c r="C49" s="81"/>
      <c r="D49" s="81"/>
      <c r="E49" s="81"/>
      <c r="F49" s="81"/>
      <c r="G49" s="81"/>
      <c r="H49" s="549">
        <v>2.6002425595763432E-15</v>
      </c>
      <c r="I49" s="546"/>
      <c r="J49" s="82"/>
      <c r="K49" s="83"/>
      <c r="L49" s="83"/>
      <c r="M49" s="80"/>
      <c r="N49" s="80"/>
      <c r="O49" s="80"/>
      <c r="P49" s="26"/>
      <c r="Q49" s="60"/>
      <c r="R49" s="60"/>
      <c r="S49" s="84"/>
      <c r="T49" s="26"/>
      <c r="U49" s="26"/>
      <c r="V49" s="26"/>
      <c r="W49" s="26"/>
      <c r="X49" s="135"/>
      <c r="Y49" s="135"/>
      <c r="Z49" s="29"/>
      <c r="AA49" s="29"/>
      <c r="AB49" s="29"/>
      <c r="AC49" s="29"/>
      <c r="AD49" s="29"/>
      <c r="AE49" s="29"/>
      <c r="AF49" s="29"/>
      <c r="AG49" s="29"/>
      <c r="AH49" s="29"/>
    </row>
    <row r="50" spans="1:34" ht="15.75" customHeight="1">
      <c r="A50" s="529" t="s">
        <v>522</v>
      </c>
      <c r="B50" s="81"/>
      <c r="C50" s="81"/>
      <c r="D50" s="81"/>
      <c r="E50" s="81"/>
      <c r="F50" s="81"/>
      <c r="G50" s="81"/>
      <c r="H50" s="549">
        <v>5.4322930377398692E-22</v>
      </c>
      <c r="I50" s="546"/>
      <c r="J50" s="82"/>
      <c r="K50" s="83"/>
      <c r="L50" s="83"/>
      <c r="M50" s="80"/>
      <c r="N50" s="80"/>
      <c r="O50" s="80"/>
      <c r="P50" s="26"/>
      <c r="Q50" s="60"/>
      <c r="R50" s="60"/>
      <c r="S50" s="84"/>
      <c r="T50" s="26"/>
      <c r="U50" s="26"/>
      <c r="V50" s="26"/>
      <c r="W50" s="26"/>
      <c r="X50" s="135"/>
      <c r="Y50" s="135"/>
      <c r="Z50" s="26"/>
      <c r="AA50" s="26"/>
      <c r="AB50" s="26"/>
      <c r="AC50" s="26"/>
      <c r="AD50" s="26"/>
      <c r="AE50" s="26"/>
      <c r="AF50" s="26"/>
      <c r="AG50" s="29"/>
      <c r="AH50" s="29"/>
    </row>
    <row r="51" spans="1:34" ht="14.25" thickBot="1">
      <c r="A51" s="1247" t="s">
        <v>523</v>
      </c>
      <c r="B51" s="1248">
        <f>B44+B45+B46+B47+B48+B49+B50</f>
        <v>100.00000000000001</v>
      </c>
      <c r="C51" s="1249">
        <f t="shared" ref="C51:H51" si="23">C44+C45+C46+C47+C48+C49+C50</f>
        <v>100.00000000000001</v>
      </c>
      <c r="D51" s="1249">
        <f t="shared" si="23"/>
        <v>100</v>
      </c>
      <c r="E51" s="1249">
        <f t="shared" si="23"/>
        <v>100</v>
      </c>
      <c r="F51" s="1249">
        <f t="shared" si="23"/>
        <v>100</v>
      </c>
      <c r="G51" s="1249">
        <f t="shared" si="23"/>
        <v>100</v>
      </c>
      <c r="H51" s="1250">
        <f t="shared" si="23"/>
        <v>99.999999999999986</v>
      </c>
      <c r="I51" s="1251"/>
      <c r="J51" s="82"/>
      <c r="K51" s="83"/>
      <c r="L51" s="83"/>
      <c r="M51" s="80"/>
      <c r="N51" s="80"/>
      <c r="O51" s="80"/>
      <c r="P51" s="26"/>
      <c r="Q51" s="60"/>
      <c r="R51" s="60"/>
      <c r="S51" s="84"/>
      <c r="T51" s="26"/>
      <c r="U51" s="26"/>
      <c r="V51" s="26"/>
      <c r="W51" s="26"/>
      <c r="X51" s="135"/>
      <c r="Y51" s="135"/>
      <c r="Z51" s="26"/>
      <c r="AA51" s="26"/>
      <c r="AB51" s="26"/>
      <c r="AC51" s="26"/>
      <c r="AD51" s="26"/>
      <c r="AE51" s="26"/>
      <c r="AF51" s="26"/>
      <c r="AG51" s="29"/>
      <c r="AH51" s="29"/>
    </row>
    <row r="52" spans="1:34" ht="15.75" customHeight="1" thickTop="1">
      <c r="A52" s="82"/>
      <c r="B52" s="82"/>
      <c r="C52" s="82"/>
      <c r="D52" s="82"/>
      <c r="E52" s="82"/>
      <c r="F52" s="82"/>
      <c r="G52" s="82"/>
      <c r="H52" s="82"/>
      <c r="I52" s="82"/>
      <c r="J52" s="82"/>
      <c r="K52" s="83"/>
      <c r="L52" s="83"/>
      <c r="M52" s="80"/>
      <c r="N52" s="80"/>
      <c r="O52" s="80"/>
      <c r="P52" s="26"/>
      <c r="Q52" s="60"/>
      <c r="R52" s="60"/>
      <c r="S52" s="84"/>
      <c r="T52" s="26"/>
      <c r="U52" s="26"/>
      <c r="V52" s="26"/>
      <c r="W52" s="26"/>
      <c r="X52" s="135"/>
      <c r="Y52" s="135"/>
      <c r="Z52" s="26"/>
      <c r="AA52" s="26"/>
      <c r="AB52" s="26"/>
      <c r="AC52" s="26"/>
      <c r="AD52" s="26"/>
      <c r="AE52" s="26"/>
      <c r="AF52" s="26"/>
      <c r="AG52" s="29"/>
      <c r="AH52" s="29"/>
    </row>
    <row r="53" spans="1:34" ht="13.5">
      <c r="A53" s="82"/>
      <c r="B53" s="82"/>
      <c r="C53" s="82"/>
      <c r="D53" s="82"/>
      <c r="E53" s="82"/>
      <c r="F53" s="82"/>
      <c r="G53" s="82"/>
      <c r="H53" s="82"/>
      <c r="I53" s="82"/>
      <c r="J53" s="82"/>
      <c r="K53" s="83"/>
      <c r="L53" s="83"/>
      <c r="M53" s="80"/>
      <c r="N53" s="80"/>
      <c r="O53" s="80"/>
      <c r="P53" s="26"/>
      <c r="Q53" s="60"/>
      <c r="R53" s="60"/>
      <c r="S53" s="84"/>
      <c r="T53" s="26"/>
      <c r="U53" s="26"/>
      <c r="V53" s="26"/>
      <c r="W53" s="26"/>
      <c r="X53" s="135"/>
      <c r="Y53" s="135"/>
      <c r="Z53" s="26"/>
      <c r="AA53" s="26"/>
      <c r="AB53" s="26"/>
      <c r="AC53" s="26"/>
      <c r="AD53" s="26"/>
      <c r="AE53" s="26"/>
      <c r="AF53" s="26"/>
      <c r="AG53" s="29"/>
      <c r="AH53" s="29"/>
    </row>
    <row r="54" spans="1:34" ht="13.5">
      <c r="A54" s="26"/>
      <c r="B54" s="26"/>
      <c r="C54" s="26"/>
      <c r="D54" s="26"/>
      <c r="E54" s="26"/>
      <c r="F54" s="26"/>
      <c r="G54" s="26"/>
      <c r="H54" s="26"/>
      <c r="I54" s="26"/>
      <c r="J54" s="82"/>
      <c r="K54" s="83"/>
      <c r="L54" s="83"/>
      <c r="M54" s="80"/>
      <c r="N54" s="80"/>
      <c r="O54" s="80"/>
      <c r="P54" s="26"/>
      <c r="Q54" s="60"/>
      <c r="R54" s="60"/>
      <c r="S54" s="84"/>
      <c r="T54" s="26"/>
      <c r="U54" s="26"/>
      <c r="V54" s="26"/>
      <c r="W54" s="26"/>
      <c r="X54" s="135"/>
      <c r="Y54" s="135"/>
      <c r="Z54" s="26"/>
      <c r="AA54" s="26"/>
      <c r="AB54" s="26"/>
      <c r="AC54" s="26"/>
      <c r="AD54" s="26"/>
      <c r="AE54" s="26"/>
      <c r="AF54" s="26"/>
      <c r="AG54" s="29"/>
      <c r="AH54" s="29"/>
    </row>
    <row r="55" spans="1:34">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9"/>
      <c r="AH55" s="29"/>
    </row>
  </sheetData>
  <protectedRanges>
    <protectedRange sqref="A22" name="Intervalo4_2_1"/>
    <protectedRange sqref="A33" name="Intervalo4_4_1"/>
    <protectedRange sqref="A32" name="Intervalo4_5_1"/>
    <protectedRange sqref="J23:J24" name="Intervalo4_6_1"/>
    <protectedRange sqref="A42:A43" name="Intervalo4_7_1"/>
    <protectedRange sqref="J32:J33" name="Intervalo4_8_1"/>
    <protectedRange sqref="A28:A29" name="Intervalo4_9_1"/>
    <protectedRange sqref="R23:R24" name="Intervalo4_10_1"/>
    <protectedRange sqref="J22" name="Intervalo4_3_1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Plan6"/>
  <dimension ref="A1:AN164"/>
  <sheetViews>
    <sheetView zoomScale="85" zoomScaleNormal="85" workbookViewId="0">
      <selection activeCell="D1" sqref="D1"/>
    </sheetView>
  </sheetViews>
  <sheetFormatPr defaultRowHeight="12.75"/>
  <cols>
    <col min="1" max="1" width="14.7109375" customWidth="1"/>
    <col min="2" max="9" width="11.7109375" customWidth="1"/>
    <col min="10" max="10" width="15.5703125" customWidth="1"/>
    <col min="11" max="20" width="15.7109375" customWidth="1"/>
    <col min="21" max="31" width="12.7109375" customWidth="1"/>
    <col min="32" max="32" width="20.7109375" customWidth="1"/>
    <col min="33" max="39" width="12.7109375" customWidth="1"/>
  </cols>
  <sheetData>
    <row r="1" spans="1:40" ht="24" customHeight="1">
      <c r="A1" s="402"/>
      <c r="B1" s="88"/>
      <c r="C1" s="88" t="s">
        <v>860</v>
      </c>
      <c r="D1" s="210"/>
      <c r="E1" s="210"/>
      <c r="F1" s="210"/>
      <c r="G1" s="210"/>
      <c r="H1" s="535" t="s">
        <v>755</v>
      </c>
      <c r="I1" s="210"/>
      <c r="J1" s="321"/>
      <c r="K1" s="356" t="s">
        <v>833</v>
      </c>
      <c r="L1" s="215"/>
      <c r="M1" s="215"/>
      <c r="N1" s="403" t="s">
        <v>646</v>
      </c>
      <c r="O1" s="403"/>
      <c r="P1" s="403"/>
      <c r="Q1" s="215"/>
      <c r="R1" s="215"/>
      <c r="S1" s="215"/>
      <c r="T1" s="218"/>
      <c r="U1" s="752" t="s">
        <v>840</v>
      </c>
      <c r="V1" s="216"/>
      <c r="W1" s="217"/>
      <c r="X1" s="217"/>
      <c r="Y1" s="217"/>
      <c r="Z1" s="101"/>
      <c r="AA1" s="101"/>
      <c r="AB1" s="433" t="s">
        <v>486</v>
      </c>
      <c r="AC1" s="305"/>
      <c r="AD1" s="304"/>
      <c r="AE1" s="306"/>
      <c r="AF1" s="321" t="s">
        <v>834</v>
      </c>
      <c r="AG1" s="215"/>
      <c r="AH1" s="215"/>
      <c r="AI1" s="215"/>
      <c r="AJ1" s="215"/>
      <c r="AK1" s="215"/>
      <c r="AL1" s="215"/>
      <c r="AM1" s="218"/>
      <c r="AN1" s="57"/>
    </row>
    <row r="2" spans="1:40" ht="18" customHeight="1" thickBot="1">
      <c r="A2" s="723" t="s">
        <v>1106</v>
      </c>
      <c r="B2" s="724"/>
      <c r="C2" s="724"/>
      <c r="D2" s="724"/>
      <c r="E2" s="724"/>
      <c r="F2" s="724"/>
      <c r="G2" s="725"/>
      <c r="H2" s="724"/>
      <c r="I2" s="726"/>
      <c r="J2" s="27"/>
      <c r="K2" s="358">
        <v>6</v>
      </c>
      <c r="L2" s="357">
        <v>3</v>
      </c>
      <c r="M2" s="357">
        <v>1</v>
      </c>
      <c r="N2" s="357">
        <v>260</v>
      </c>
      <c r="O2" s="357">
        <v>2</v>
      </c>
      <c r="P2" s="357">
        <v>7</v>
      </c>
      <c r="Q2" s="357">
        <v>103</v>
      </c>
      <c r="R2" s="196"/>
      <c r="S2" s="198" t="s">
        <v>605</v>
      </c>
      <c r="T2" s="201"/>
      <c r="U2" s="101"/>
      <c r="V2" s="196" t="s">
        <v>602</v>
      </c>
      <c r="W2" s="200"/>
      <c r="X2" s="49"/>
      <c r="Y2" s="49"/>
      <c r="Z2" s="197"/>
      <c r="AA2" s="198"/>
      <c r="AB2" s="199"/>
      <c r="AC2" s="196" t="s">
        <v>605</v>
      </c>
      <c r="AD2" s="199"/>
      <c r="AE2" s="201"/>
      <c r="AF2" s="207"/>
      <c r="AG2" s="241" t="s">
        <v>835</v>
      </c>
      <c r="AH2" s="303" t="s">
        <v>690</v>
      </c>
      <c r="AI2" s="49"/>
      <c r="AJ2" s="49"/>
      <c r="AK2" s="197"/>
      <c r="AL2" s="198"/>
      <c r="AM2" s="201"/>
      <c r="AN2" s="26"/>
    </row>
    <row r="3" spans="1:40" ht="26.25" thickTop="1">
      <c r="A3" s="1019" t="s">
        <v>1028</v>
      </c>
      <c r="B3" s="1276" t="str">
        <f t="shared" ref="B3:H3" si="0">K3</f>
        <v>HCl</v>
      </c>
      <c r="C3" s="1276" t="str">
        <f t="shared" si="0"/>
        <v>Carbonic acid</v>
      </c>
      <c r="D3" s="1276" t="str">
        <f t="shared" si="0"/>
        <v>Acetic acid</v>
      </c>
      <c r="E3" s="1276" t="str">
        <f t="shared" si="0"/>
        <v>Phenol Red (pKa 7.7)</v>
      </c>
      <c r="F3" s="1276" t="str">
        <f t="shared" si="0"/>
        <v>Ammonia</v>
      </c>
      <c r="G3" s="1276" t="str">
        <f t="shared" si="0"/>
        <v>Hydroxide ion</v>
      </c>
      <c r="H3" s="1277" t="str">
        <f t="shared" si="0"/>
        <v>Glycine</v>
      </c>
      <c r="I3" s="564"/>
      <c r="J3" s="365" t="s">
        <v>593</v>
      </c>
      <c r="K3" s="263" t="s">
        <v>326</v>
      </c>
      <c r="L3" s="263" t="s">
        <v>159</v>
      </c>
      <c r="M3" s="263" t="s">
        <v>127</v>
      </c>
      <c r="N3" s="263" t="s">
        <v>968</v>
      </c>
      <c r="O3" s="263" t="s">
        <v>128</v>
      </c>
      <c r="P3" s="263" t="s">
        <v>626</v>
      </c>
      <c r="Q3" s="263" t="s">
        <v>185</v>
      </c>
      <c r="R3" s="269" t="s">
        <v>641</v>
      </c>
      <c r="S3" s="270" t="s">
        <v>642</v>
      </c>
      <c r="T3" s="754" t="s">
        <v>607</v>
      </c>
      <c r="U3" s="31" t="s">
        <v>593</v>
      </c>
      <c r="V3" s="691" t="str">
        <f t="shared" ref="V3:AB4" si="1">IF(K3="","",K3)</f>
        <v>HCl</v>
      </c>
      <c r="W3" s="691" t="str">
        <f t="shared" si="1"/>
        <v>Carbonic acid</v>
      </c>
      <c r="X3" s="691" t="str">
        <f t="shared" si="1"/>
        <v>Acetic acid</v>
      </c>
      <c r="Y3" s="691" t="str">
        <f t="shared" si="1"/>
        <v>Phenol Red (pKa 7.7)</v>
      </c>
      <c r="Z3" s="691" t="str">
        <f t="shared" si="1"/>
        <v>Ammonia</v>
      </c>
      <c r="AA3" s="691" t="str">
        <f t="shared" si="1"/>
        <v>Hydroxide ion</v>
      </c>
      <c r="AB3" s="691" t="str">
        <f t="shared" si="1"/>
        <v>Glycine</v>
      </c>
      <c r="AC3" s="193" t="str">
        <f>R3</f>
        <v>Strong ACID</v>
      </c>
      <c r="AD3" s="194" t="str">
        <f>S3</f>
        <v>Strong BASE</v>
      </c>
      <c r="AE3" s="195" t="str">
        <f>T3</f>
        <v>Carbonic ac.</v>
      </c>
      <c r="AF3" s="30" t="s">
        <v>593</v>
      </c>
      <c r="AG3" s="212" t="str">
        <f>IF(VLOOKUP(K$2,Database!$B$22:$N$301,2)="","",VLOOKUP(K$2,Database!$B$22:$N$301,2))</f>
        <v>HCl</v>
      </c>
      <c r="AH3" s="212" t="str">
        <f>IF(VLOOKUP(L$2,Database!$B$22:$N$301,2)="","",VLOOKUP(L$2,Database!$B$22:$N$301,2))</f>
        <v>Carbonic acid</v>
      </c>
      <c r="AI3" s="212" t="str">
        <f>IF(VLOOKUP(M$2,Database!$B$22:$N$301,2)="","",VLOOKUP(M$2,Database!$B$22:$N$301,2))</f>
        <v>Acetic acid</v>
      </c>
      <c r="AJ3" s="212" t="str">
        <f>IF(VLOOKUP(N$2,Database!$B$22:$N$301,2)="","",VLOOKUP(N$2,Database!$B$22:$N$301,2))</f>
        <v>Phenol Red (pKa 7.7)</v>
      </c>
      <c r="AK3" s="212" t="str">
        <f>IF(VLOOKUP(O$2,Database!$B$22:$N$301,2)="","",VLOOKUP(O$2,Database!$B$22:$N$301,2))</f>
        <v>Ammonia</v>
      </c>
      <c r="AL3" s="212" t="str">
        <f>IF(VLOOKUP(P$2,Database!$B$22:$N$301,2)="","",VLOOKUP(P$2,Database!$B$22:$N$301,2))</f>
        <v>Hydroxide ion</v>
      </c>
      <c r="AM3" s="233" t="str">
        <f>IF(VLOOKUP(Q$2,Database!$B$22:$N$301,2)="","",VLOOKUP(Q$2,Database!$B$22:$N$301,2))</f>
        <v>Glycine</v>
      </c>
      <c r="AN3" s="135"/>
    </row>
    <row r="4" spans="1:40" ht="15" customHeight="1" thickBot="1">
      <c r="A4" s="1272" t="s">
        <v>332</v>
      </c>
      <c r="B4" s="1279"/>
      <c r="C4" s="1281"/>
      <c r="D4" s="1281"/>
      <c r="E4" s="1281"/>
      <c r="F4" s="1284"/>
      <c r="G4" s="1281"/>
      <c r="H4" s="1285"/>
      <c r="I4" s="564"/>
      <c r="J4" s="222" t="s">
        <v>594</v>
      </c>
      <c r="K4" s="1218">
        <v>-1</v>
      </c>
      <c r="L4" s="1218">
        <v>-2</v>
      </c>
      <c r="M4" s="1218">
        <v>-1</v>
      </c>
      <c r="N4" s="1218">
        <v>-2</v>
      </c>
      <c r="O4" s="1218">
        <v>0</v>
      </c>
      <c r="P4" s="1218">
        <v>-1</v>
      </c>
      <c r="Q4" s="1218">
        <v>-1</v>
      </c>
      <c r="R4" s="1219">
        <v>-1</v>
      </c>
      <c r="S4" s="1220">
        <v>-1</v>
      </c>
      <c r="T4" s="1221">
        <v>-2</v>
      </c>
      <c r="U4" s="753" t="s">
        <v>594</v>
      </c>
      <c r="V4" s="692">
        <f t="shared" si="1"/>
        <v>-1</v>
      </c>
      <c r="W4" s="692">
        <f t="shared" si="1"/>
        <v>-2</v>
      </c>
      <c r="X4" s="692">
        <f t="shared" si="1"/>
        <v>-1</v>
      </c>
      <c r="Y4" s="692">
        <f t="shared" si="1"/>
        <v>-2</v>
      </c>
      <c r="Z4" s="692">
        <f t="shared" si="1"/>
        <v>0</v>
      </c>
      <c r="AA4" s="692">
        <f t="shared" si="1"/>
        <v>-1</v>
      </c>
      <c r="AB4" s="692">
        <f t="shared" si="1"/>
        <v>-1</v>
      </c>
      <c r="AC4" s="692">
        <f>IF(R4="","",R4)</f>
        <v>-1</v>
      </c>
      <c r="AD4" s="692">
        <f>IF(S4="","",S4)</f>
        <v>-1</v>
      </c>
      <c r="AE4" s="692">
        <f>IF(T4="","",T4)</f>
        <v>-2</v>
      </c>
      <c r="AF4" s="222" t="s">
        <v>604</v>
      </c>
      <c r="AG4" s="235">
        <f>IF(VLOOKUP(K$2,Database!$B$22:$N$301,3)="","",VLOOKUP(K$2,Database!$B$22:$N$301,3))</f>
        <v>-1</v>
      </c>
      <c r="AH4" s="235">
        <f>IF(VLOOKUP(L$2,Database!$B$22:$N$301,3)="","",VLOOKUP(L$2,Database!$B$22:$N$301,3))</f>
        <v>-2</v>
      </c>
      <c r="AI4" s="235">
        <f>IF(VLOOKUP(M$2,Database!$B$22:$N$301,3)="","",VLOOKUP(M$2,Database!$B$22:$N$301,3))</f>
        <v>-1</v>
      </c>
      <c r="AJ4" s="235">
        <f>IF(VLOOKUP(N$2,Database!$B$22:$N$301,3)="","",VLOOKUP(N$2,Database!$B$22:$N$301,3))</f>
        <v>-2</v>
      </c>
      <c r="AK4" s="235">
        <f>IF(VLOOKUP(O$2,Database!$B$22:$N$301,3)="","",VLOOKUP(O$2,Database!$B$22:$N$301,3))</f>
        <v>0</v>
      </c>
      <c r="AL4" s="235">
        <f>IF(VLOOKUP(P$2,Database!$B$22:$N$301,3)="","",VLOOKUP(P$2,Database!$B$22:$N$301,3))</f>
        <v>-1</v>
      </c>
      <c r="AM4" s="242">
        <f>IF(VLOOKUP(Q$2,Database!$B$22:$N$301,3)="","",VLOOKUP(Q$2,Database!$B$22:$N$301,3))</f>
        <v>-1</v>
      </c>
      <c r="AN4" s="29"/>
    </row>
    <row r="5" spans="1:40" ht="15" customHeight="1" thickBot="1">
      <c r="A5" s="1273" t="s">
        <v>333</v>
      </c>
      <c r="B5" s="1280"/>
      <c r="C5" s="836"/>
      <c r="D5" s="1283">
        <v>0.1</v>
      </c>
      <c r="E5" s="836"/>
      <c r="F5" s="917"/>
      <c r="G5" s="1282"/>
      <c r="H5" s="1286"/>
      <c r="I5" s="564"/>
      <c r="J5" s="191" t="s">
        <v>841</v>
      </c>
      <c r="K5" s="258">
        <v>-7</v>
      </c>
      <c r="L5" s="258">
        <v>6.3520000000000003</v>
      </c>
      <c r="M5" s="258">
        <v>4.7569999999999997</v>
      </c>
      <c r="N5" s="258">
        <v>1.2</v>
      </c>
      <c r="O5" s="258">
        <v>9.2439999999999998</v>
      </c>
      <c r="P5" s="258">
        <v>15.744999999999999</v>
      </c>
      <c r="Q5" s="258">
        <v>2.35</v>
      </c>
      <c r="R5" s="1212">
        <v>-6</v>
      </c>
      <c r="S5" s="268">
        <v>15.744999999999999</v>
      </c>
      <c r="T5" s="1213">
        <v>6.3520000000000003</v>
      </c>
      <c r="U5" s="35" t="s">
        <v>839</v>
      </c>
      <c r="V5" s="102">
        <f t="shared" ref="V5:AB5" si="2">IF(K5="","",IF(K6="",10^K5,(IF(K7="",10^K6,(IF(K8="",10^K7,(IF(K9="",10^K8,(IF(K10="",10^K9,10^K10))))))))))</f>
        <v>9.9999999999999995E-8</v>
      </c>
      <c r="W5" s="106">
        <f t="shared" si="2"/>
        <v>21330449131.465843</v>
      </c>
      <c r="X5" s="106">
        <f t="shared" si="2"/>
        <v>57147.863667186728</v>
      </c>
      <c r="Y5" s="106">
        <f t="shared" si="2"/>
        <v>50118723.362727284</v>
      </c>
      <c r="Z5" s="106">
        <f t="shared" si="2"/>
        <v>1753880501.8417609</v>
      </c>
      <c r="AA5" s="106">
        <f t="shared" si="2"/>
        <v>5559042572704029</v>
      </c>
      <c r="AB5" s="103">
        <f t="shared" si="2"/>
        <v>5997910762.5551224</v>
      </c>
      <c r="AC5" s="70">
        <f>IF(R5="","",IF(R6="",10^R5,10^R6))</f>
        <v>9.9999999999999995E-7</v>
      </c>
      <c r="AD5" s="203">
        <f>IF(S5="","",IF(S6="",10^S5,10^S6))</f>
        <v>5559042572704029</v>
      </c>
      <c r="AE5" s="109">
        <f>IF(T5="","",IF(T6="",10^T5,10^T6))</f>
        <v>21330449131.465843</v>
      </c>
      <c r="AF5" s="190" t="s">
        <v>581</v>
      </c>
      <c r="AG5" s="243">
        <f>IF(VLOOKUP(K$2,Database!$B$22:$N$301,4)="","",VLOOKUP(K$2,Database!$B$22:$N$301,4))</f>
        <v>-7</v>
      </c>
      <c r="AH5" s="366">
        <f>IF(VLOOKUP(L$2,Database!$B$22:$N$301,4)="","",VLOOKUP(L$2,Database!$B$22:$N$301,4))</f>
        <v>6.3520000000000003</v>
      </c>
      <c r="AI5" s="366">
        <f>IF(VLOOKUP(M$2,Database!$B$22:$N$301,4)="","",VLOOKUP(M$2,Database!$B$22:$N$301,4))</f>
        <v>4.7569999999999997</v>
      </c>
      <c r="AJ5" s="366">
        <f>IF(VLOOKUP(N$2,Database!$B$22:$N$301,4)="","",VLOOKUP(N$2,Database!$B$22:$N$301,4))</f>
        <v>1.2</v>
      </c>
      <c r="AK5" s="366">
        <f>IF(VLOOKUP(O$2,Database!$B$22:$N$301,4)="","",VLOOKUP(O$2,Database!$B$22:$N$301,4))</f>
        <v>9.2439999999999998</v>
      </c>
      <c r="AL5" s="366">
        <f>IF(VLOOKUP(P$2,Database!$B$22:$N$301,4)="","",VLOOKUP(P$2,Database!$B$22:$N$301,4))</f>
        <v>15.744999999999999</v>
      </c>
      <c r="AM5" s="367">
        <f>IF(VLOOKUP(Q$2,Database!$B$22:$N$301,4)="","",VLOOKUP(Q$2,Database!$B$22:$N$301,4))</f>
        <v>2.35</v>
      </c>
      <c r="AN5" s="29"/>
    </row>
    <row r="6" spans="1:40" ht="15" customHeight="1" thickBot="1">
      <c r="A6" s="1273" t="s">
        <v>896</v>
      </c>
      <c r="B6" s="838"/>
      <c r="C6" s="1282"/>
      <c r="D6" s="839"/>
      <c r="E6" s="1282">
        <v>5.0000000000000002E-5</v>
      </c>
      <c r="F6" s="839"/>
      <c r="G6" s="839"/>
      <c r="H6" s="837"/>
      <c r="I6" s="564"/>
      <c r="J6" s="191" t="s">
        <v>842</v>
      </c>
      <c r="K6" s="258" t="s">
        <v>588</v>
      </c>
      <c r="L6" s="258">
        <v>10.329000000000001</v>
      </c>
      <c r="M6" s="258" t="s">
        <v>588</v>
      </c>
      <c r="N6" s="258">
        <v>7.7</v>
      </c>
      <c r="O6" s="258" t="s">
        <v>588</v>
      </c>
      <c r="P6" s="258" t="s">
        <v>588</v>
      </c>
      <c r="Q6" s="258">
        <v>9.7780000000000005</v>
      </c>
      <c r="R6" s="1214"/>
      <c r="S6" s="1215"/>
      <c r="T6" s="1216">
        <v>10.329000000000001</v>
      </c>
      <c r="U6" s="35" t="s">
        <v>489</v>
      </c>
      <c r="V6" s="105" t="str">
        <f t="shared" ref="V6:AB6" si="3">IF(K6="","",IF(K7="",V5*10^K5,(IF(K8="",V5*10^K6,(IF(K9="",V5*10^K7,(IF(K10="",V5*10^K8,V5*10^K9))))))))</f>
        <v/>
      </c>
      <c r="W6" s="106">
        <f t="shared" si="3"/>
        <v>4.7973344863669224E+16</v>
      </c>
      <c r="X6" s="106" t="str">
        <f t="shared" si="3"/>
        <v/>
      </c>
      <c r="Y6" s="106">
        <f t="shared" si="3"/>
        <v>794328234.7242825</v>
      </c>
      <c r="Z6" s="106" t="str">
        <f t="shared" si="3"/>
        <v/>
      </c>
      <c r="AA6" s="106" t="str">
        <f t="shared" si="3"/>
        <v/>
      </c>
      <c r="AB6" s="107">
        <f t="shared" si="3"/>
        <v>1342764961137.8711</v>
      </c>
      <c r="AC6" s="70" t="str">
        <f>IF(R6="","",AC5*10^R5)</f>
        <v/>
      </c>
      <c r="AD6" s="70" t="str">
        <f>IF(S6="","",AD5*10^S5)</f>
        <v/>
      </c>
      <c r="AE6" s="109">
        <f>IF(T6="","",AE5*10^T5)</f>
        <v>4.7973344863669224E+16</v>
      </c>
      <c r="AF6" s="191" t="s">
        <v>582</v>
      </c>
      <c r="AG6" s="236" t="str">
        <f>IF(VLOOKUP(K$2,Database!$B$22:$N$301,5)="","",VLOOKUP(K$2,Database!$B$22:$N$301,5))</f>
        <v/>
      </c>
      <c r="AH6" s="237">
        <f>IF(VLOOKUP(L$2,Database!$B$22:$N$301,5)="","",VLOOKUP(L$2,Database!$B$22:$N$301,5))</f>
        <v>10.329000000000001</v>
      </c>
      <c r="AI6" s="237" t="str">
        <f>IF(VLOOKUP(M$2,Database!$B$22:$N$301,5)="","",VLOOKUP(M$2,Database!$B$22:$N$301,5))</f>
        <v/>
      </c>
      <c r="AJ6" s="237">
        <f>IF(VLOOKUP(N$2,Database!$B$22:$N$301,5)="","",VLOOKUP(N$2,Database!$B$22:$N$301,5))</f>
        <v>7.7</v>
      </c>
      <c r="AK6" s="237" t="str">
        <f>IF(VLOOKUP(O$2,Database!$B$22:$N$301,5)="","",VLOOKUP(O$2,Database!$B$22:$N$301,5))</f>
        <v/>
      </c>
      <c r="AL6" s="237" t="str">
        <f>IF(VLOOKUP(P$2,Database!$B$22:$N$301,5)="","",VLOOKUP(P$2,Database!$B$22:$N$301,5))</f>
        <v/>
      </c>
      <c r="AM6" s="238">
        <f>IF(VLOOKUP(Q$2,Database!$B$22:$N$301,5)="","",VLOOKUP(Q$2,Database!$B$22:$N$301,5))</f>
        <v>9.7780000000000005</v>
      </c>
      <c r="AN6" s="29"/>
    </row>
    <row r="7" spans="1:40" ht="15" customHeight="1">
      <c r="A7" s="1273" t="s">
        <v>897</v>
      </c>
      <c r="B7" s="838"/>
      <c r="C7" s="839"/>
      <c r="D7" s="839"/>
      <c r="E7" s="839"/>
      <c r="F7" s="839"/>
      <c r="G7" s="839"/>
      <c r="H7" s="840"/>
      <c r="I7" s="564"/>
      <c r="J7" s="191" t="s">
        <v>637</v>
      </c>
      <c r="K7" s="258" t="s">
        <v>588</v>
      </c>
      <c r="L7" s="258" t="s">
        <v>588</v>
      </c>
      <c r="M7" s="258" t="s">
        <v>588</v>
      </c>
      <c r="N7" s="258" t="s">
        <v>588</v>
      </c>
      <c r="O7" s="258" t="s">
        <v>588</v>
      </c>
      <c r="P7" s="258" t="s">
        <v>588</v>
      </c>
      <c r="Q7" s="260" t="s">
        <v>588</v>
      </c>
      <c r="R7" s="1222"/>
      <c r="S7" s="1223"/>
      <c r="T7" s="1224"/>
      <c r="U7" s="104" t="s">
        <v>491</v>
      </c>
      <c r="V7" s="105" t="str">
        <f t="shared" ref="V7:AB7" si="4">IF(K7="","",IF(K8="",V6*10^K5,(IF(K9="",V6*10^K6,(IF(K10="",V6*10^K7,V6*10^K8))))))</f>
        <v/>
      </c>
      <c r="W7" s="106" t="str">
        <f t="shared" si="4"/>
        <v/>
      </c>
      <c r="X7" s="106" t="str">
        <f t="shared" si="4"/>
        <v/>
      </c>
      <c r="Y7" s="106" t="str">
        <f t="shared" si="4"/>
        <v/>
      </c>
      <c r="Z7" s="106" t="str">
        <f t="shared" si="4"/>
        <v/>
      </c>
      <c r="AA7" s="106" t="str">
        <f t="shared" si="4"/>
        <v/>
      </c>
      <c r="AB7" s="107" t="str">
        <f t="shared" si="4"/>
        <v/>
      </c>
      <c r="AC7" s="106"/>
      <c r="AD7" s="106"/>
      <c r="AE7" s="109"/>
      <c r="AF7" s="191" t="s">
        <v>583</v>
      </c>
      <c r="AG7" s="236" t="str">
        <f>IF(VLOOKUP(K$2,Database!$B$22:$N$301,6)="","",VLOOKUP(K$2,Database!$B$22:$N$301,6))</f>
        <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row>
    <row r="8" spans="1:40" ht="15" customHeight="1">
      <c r="A8" s="1273" t="s">
        <v>890</v>
      </c>
      <c r="B8" s="838"/>
      <c r="C8" s="839"/>
      <c r="D8" s="839"/>
      <c r="E8" s="801"/>
      <c r="F8" s="801"/>
      <c r="G8" s="801"/>
      <c r="H8" s="840"/>
      <c r="I8" s="1262" t="s">
        <v>348</v>
      </c>
      <c r="J8" s="191" t="s">
        <v>638</v>
      </c>
      <c r="K8" s="258" t="s">
        <v>588</v>
      </c>
      <c r="L8" s="258" t="s">
        <v>588</v>
      </c>
      <c r="M8" s="258" t="s">
        <v>588</v>
      </c>
      <c r="N8" s="258" t="s">
        <v>588</v>
      </c>
      <c r="O8" s="258" t="s">
        <v>588</v>
      </c>
      <c r="P8" s="258" t="s">
        <v>588</v>
      </c>
      <c r="Q8" s="260" t="s">
        <v>588</v>
      </c>
      <c r="R8" s="750"/>
      <c r="S8" s="750"/>
      <c r="T8" s="755"/>
      <c r="U8" s="104" t="s">
        <v>493</v>
      </c>
      <c r="V8" s="105" t="str">
        <f t="shared" ref="V8:AB8" si="5">IF(K8="","",IF(K9="",V7*10^K5,(IF(K10="",V7*10^K6,V7*10^K7))))</f>
        <v/>
      </c>
      <c r="W8" s="106" t="str">
        <f t="shared" si="5"/>
        <v/>
      </c>
      <c r="X8" s="106" t="str">
        <f t="shared" si="5"/>
        <v/>
      </c>
      <c r="Y8" s="106" t="str">
        <f t="shared" si="5"/>
        <v/>
      </c>
      <c r="Z8" s="106" t="str">
        <f t="shared" si="5"/>
        <v/>
      </c>
      <c r="AA8" s="106" t="str">
        <f t="shared" si="5"/>
        <v/>
      </c>
      <c r="AB8" s="107" t="str">
        <f t="shared" si="5"/>
        <v/>
      </c>
      <c r="AC8" s="106"/>
      <c r="AD8" s="106"/>
      <c r="AE8" s="108"/>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row>
    <row r="9" spans="1:40" ht="15" customHeight="1">
      <c r="A9" s="1273" t="s">
        <v>891</v>
      </c>
      <c r="B9" s="838"/>
      <c r="C9" s="839"/>
      <c r="D9" s="839"/>
      <c r="E9" s="801"/>
      <c r="F9" s="801"/>
      <c r="G9" s="801"/>
      <c r="H9" s="840"/>
      <c r="I9" s="1274" t="s">
        <v>644</v>
      </c>
      <c r="J9" s="191" t="s">
        <v>639</v>
      </c>
      <c r="K9" s="258" t="s">
        <v>588</v>
      </c>
      <c r="L9" s="258" t="s">
        <v>588</v>
      </c>
      <c r="M9" s="258" t="s">
        <v>588</v>
      </c>
      <c r="N9" s="258" t="s">
        <v>588</v>
      </c>
      <c r="O9" s="258" t="s">
        <v>588</v>
      </c>
      <c r="P9" s="258" t="s">
        <v>588</v>
      </c>
      <c r="Q9" s="260" t="s">
        <v>588</v>
      </c>
      <c r="R9" s="750"/>
      <c r="S9" s="750"/>
      <c r="T9" s="755"/>
      <c r="U9" s="104" t="s">
        <v>495</v>
      </c>
      <c r="V9" s="105" t="str">
        <f t="shared" ref="V9:AB9" si="6">IF(K9="","",IF(K10="",V8*10^K5,V8*10^K6))</f>
        <v/>
      </c>
      <c r="W9" s="106" t="str">
        <f t="shared" si="6"/>
        <v/>
      </c>
      <c r="X9" s="106" t="str">
        <f t="shared" si="6"/>
        <v/>
      </c>
      <c r="Y9" s="106" t="str">
        <f t="shared" si="6"/>
        <v/>
      </c>
      <c r="Z9" s="106" t="str">
        <f t="shared" si="6"/>
        <v/>
      </c>
      <c r="AA9" s="106" t="str">
        <f t="shared" si="6"/>
        <v/>
      </c>
      <c r="AB9" s="107" t="str">
        <f t="shared" si="6"/>
        <v/>
      </c>
      <c r="AC9" s="106"/>
      <c r="AD9" s="106"/>
      <c r="AE9" s="108"/>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row>
    <row r="10" spans="1:40" ht="15" customHeight="1" thickBot="1">
      <c r="A10" s="1273" t="s">
        <v>892</v>
      </c>
      <c r="B10" s="841"/>
      <c r="C10" s="1270"/>
      <c r="D10" s="1270"/>
      <c r="E10" s="1270"/>
      <c r="F10" s="1270"/>
      <c r="G10" s="1270"/>
      <c r="H10" s="1271"/>
      <c r="I10" s="1275" t="s">
        <v>345</v>
      </c>
      <c r="J10" s="192" t="s">
        <v>640</v>
      </c>
      <c r="K10" s="258" t="s">
        <v>588</v>
      </c>
      <c r="L10" s="258" t="s">
        <v>588</v>
      </c>
      <c r="M10" s="258" t="s">
        <v>588</v>
      </c>
      <c r="N10" s="258" t="s">
        <v>588</v>
      </c>
      <c r="O10" s="258" t="s">
        <v>588</v>
      </c>
      <c r="P10" s="258" t="s">
        <v>588</v>
      </c>
      <c r="Q10" s="260" t="s">
        <v>588</v>
      </c>
      <c r="R10" s="750"/>
      <c r="S10" s="750"/>
      <c r="T10" s="755"/>
      <c r="U10" s="1230" t="s">
        <v>497</v>
      </c>
      <c r="V10" s="105" t="str">
        <f t="shared" ref="V10:AB10" si="7">IF(K10="","",V9*10^K5)</f>
        <v/>
      </c>
      <c r="W10" s="106" t="str">
        <f t="shared" si="7"/>
        <v/>
      </c>
      <c r="X10" s="106" t="str">
        <f t="shared" si="7"/>
        <v/>
      </c>
      <c r="Y10" s="106" t="str">
        <f t="shared" si="7"/>
        <v/>
      </c>
      <c r="Z10" s="106" t="str">
        <f t="shared" si="7"/>
        <v/>
      </c>
      <c r="AA10" s="106" t="str">
        <f t="shared" si="7"/>
        <v/>
      </c>
      <c r="AB10" s="107" t="str">
        <f t="shared" si="7"/>
        <v/>
      </c>
      <c r="AC10" s="106"/>
      <c r="AD10" s="106"/>
      <c r="AE10" s="108"/>
      <c r="AF10" s="192" t="s">
        <v>586</v>
      </c>
      <c r="AG10" s="594" t="str">
        <f>IF(VLOOKUP(K$2,Database!$B$22:$N$301,9)="","",VLOOKUP(K$2,Database!$B$22:$N$301,9))</f>
        <v/>
      </c>
      <c r="AH10" s="595" t="str">
        <f>IF(VLOOKUP(L$2,Database!$B$22:$N$301,9)="","",VLOOKUP(L$2,Database!$B$22:$N$301,9))</f>
        <v/>
      </c>
      <c r="AI10" s="595" t="str">
        <f>IF(VLOOKUP(M$2,Database!$B$22:$N$301,9)="","",VLOOKUP(M$2,Database!$B$22:$N$301,9))</f>
        <v/>
      </c>
      <c r="AJ10" s="595" t="str">
        <f>IF(VLOOKUP(N$2,Database!$B$22:$N$301,9)="","",VLOOKUP(N$2,Database!$B$22:$N$301,9))</f>
        <v/>
      </c>
      <c r="AK10" s="595" t="str">
        <f>IF(VLOOKUP(O$2,Database!$B$22:$N$301,9)="","",VLOOKUP(O$2,Database!$B$22:$N$301,9))</f>
        <v/>
      </c>
      <c r="AL10" s="595" t="str">
        <f>IF(VLOOKUP(P$2,Database!$B$22:$N$301,9)="","",VLOOKUP(P$2,Database!$B$22:$N$301,9))</f>
        <v/>
      </c>
      <c r="AM10" s="596" t="str">
        <f>IF(VLOOKUP(Q$2,Database!$B$22:$N$301,9)="","",VLOOKUP(Q$2,Database!$B$22:$N$301,9))</f>
        <v/>
      </c>
      <c r="AN10" s="29"/>
    </row>
    <row r="11" spans="1:40" ht="15" customHeight="1" thickTop="1" thickBot="1">
      <c r="A11" s="803" t="s">
        <v>898</v>
      </c>
      <c r="B11" s="1278">
        <f>SUM(B4:B10)</f>
        <v>0</v>
      </c>
      <c r="C11" s="921">
        <f t="shared" ref="C11:H11" si="8">SUM(C4:C10)</f>
        <v>0</v>
      </c>
      <c r="D11" s="921">
        <f t="shared" si="8"/>
        <v>0.1</v>
      </c>
      <c r="E11" s="921">
        <f t="shared" si="8"/>
        <v>5.0000000000000002E-5</v>
      </c>
      <c r="F11" s="921">
        <f t="shared" si="8"/>
        <v>0</v>
      </c>
      <c r="G11" s="921">
        <f t="shared" si="8"/>
        <v>0</v>
      </c>
      <c r="H11" s="922">
        <f t="shared" si="8"/>
        <v>0</v>
      </c>
      <c r="I11" s="918">
        <f>SUM(B11:H11)</f>
        <v>0.10005</v>
      </c>
      <c r="J11" s="116" t="s">
        <v>335</v>
      </c>
      <c r="K11" s="1225">
        <v>13.997</v>
      </c>
      <c r="L11" s="1226" t="s">
        <v>1125</v>
      </c>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943" t="s">
        <v>959</v>
      </c>
      <c r="AG11" s="237" t="str">
        <f>IF(VLOOKUP(K$2,Database!$B$22:$R$301,14)="","",VLOOKUP(K$2,Database!$B$22:$R$301,14))</f>
        <v/>
      </c>
      <c r="AH11" s="237" t="str">
        <f>IF(VLOOKUP(L$2,Database!$B$22:$R$301,14)="","",VLOOKUP(L$2,Database!$B$22:$R$301,14))</f>
        <v/>
      </c>
      <c r="AI11" s="237" t="str">
        <f>IF(VLOOKUP(M$2,Database!$B$22:$R$301,14)="","",VLOOKUP(M$2,Database!$B$22:$R$301,14))</f>
        <v/>
      </c>
      <c r="AJ11" s="237">
        <f>IF(VLOOKUP(N$2,Database!$B$22:$R$301,14)="","",VLOOKUP(N$2,Database!$B$22:$R$301,14))</f>
        <v>7.7</v>
      </c>
      <c r="AK11" s="237" t="str">
        <f>IF(VLOOKUP(O$2,Database!$B$22:$R$301,14)="","",VLOOKUP(O$2,Database!$B$22:$R$301,14))</f>
        <v/>
      </c>
      <c r="AL11" s="237" t="str">
        <f>IF(VLOOKUP(P$2,Database!$B$22:$R$301,14)="","",VLOOKUP(P$2,Database!$B$22:$R$301,14))</f>
        <v/>
      </c>
      <c r="AM11" s="238" t="str">
        <f>IF(VLOOKUP(Q$2,Database!$B$22:$R$301,14)="","",VLOOKUP(Q$2,Database!$B$22:$R$301,14))</f>
        <v/>
      </c>
      <c r="AN11" s="29"/>
    </row>
    <row r="12" spans="1:40" ht="15" customHeight="1" thickTop="1" thickBot="1">
      <c r="A12" s="842" t="s">
        <v>836</v>
      </c>
      <c r="B12" s="919">
        <f>B5+2*B6+3*B7+4*B8+5*B9+6*B10</f>
        <v>0</v>
      </c>
      <c r="C12" s="920">
        <f t="shared" ref="C12:H12" si="9">C5+2*C6+3*C7+4*C8+5*C9+6*C10</f>
        <v>0</v>
      </c>
      <c r="D12" s="920">
        <f t="shared" si="9"/>
        <v>0.1</v>
      </c>
      <c r="E12" s="920">
        <f t="shared" si="9"/>
        <v>1E-4</v>
      </c>
      <c r="F12" s="921">
        <f t="shared" si="9"/>
        <v>0</v>
      </c>
      <c r="G12" s="921">
        <f t="shared" si="9"/>
        <v>0</v>
      </c>
      <c r="H12" s="922">
        <f t="shared" si="9"/>
        <v>0</v>
      </c>
      <c r="I12" s="923">
        <f>SUM(B12:H12)</f>
        <v>0.10010000000000001</v>
      </c>
      <c r="J12" s="369"/>
      <c r="K12" s="370"/>
      <c r="L12" s="232"/>
      <c r="M12" s="1123"/>
      <c r="N12" s="1124" t="s">
        <v>598</v>
      </c>
      <c r="O12" s="1125"/>
      <c r="P12" s="232"/>
      <c r="Q12" s="29"/>
      <c r="R12" s="29"/>
      <c r="S12" s="29"/>
      <c r="T12" s="29"/>
      <c r="U12" s="29"/>
      <c r="V12" s="29"/>
      <c r="W12" s="29"/>
      <c r="X12" s="29"/>
      <c r="Y12" s="29"/>
      <c r="Z12" s="29"/>
      <c r="AA12" s="29"/>
      <c r="AB12" s="29"/>
      <c r="AC12" s="29"/>
      <c r="AD12" s="29"/>
      <c r="AE12" s="29"/>
      <c r="AF12" s="943" t="s">
        <v>960</v>
      </c>
      <c r="AG12" s="237" t="str">
        <f>IF(VLOOKUP(K$2,Database!$B$22:$R$301,15)="","",VLOOKUP(K$2,Database!$B$22:$R$301,15))</f>
        <v/>
      </c>
      <c r="AH12" s="237" t="str">
        <f>IF(VLOOKUP(L$2,Database!$B$22:$R$301,15)="","",VLOOKUP(L$2,Database!$B$22:$R$301,15))</f>
        <v/>
      </c>
      <c r="AI12" s="237" t="str">
        <f>IF(VLOOKUP(M$2,Database!$B$22:$R$301,15)="","",VLOOKUP(M$2,Database!$B$22:$R$301,15))</f>
        <v/>
      </c>
      <c r="AJ12" s="237">
        <f>IF(VLOOKUP(N$2,Database!$B$22:$R$301,15)="","",VLOOKUP(N$2,Database!$B$22:$R$301,15))</f>
        <v>4907000</v>
      </c>
      <c r="AK12" s="237" t="str">
        <f>IF(VLOOKUP(O$2,Database!$B$22:$R$301,15)="","",VLOOKUP(O$2,Database!$B$22:$R$301,15))</f>
        <v/>
      </c>
      <c r="AL12" s="237" t="str">
        <f>IF(VLOOKUP(P$2,Database!$B$22:$R$301,15)="","",VLOOKUP(P$2,Database!$B$22:$R$301,15))</f>
        <v/>
      </c>
      <c r="AM12" s="238" t="str">
        <f>IF(VLOOKUP(Q$2,Database!$B$22:$R$301,15)="","",VLOOKUP(Q$2,Database!$B$22:$R$301,15))</f>
        <v/>
      </c>
      <c r="AN12" s="29"/>
    </row>
    <row r="13" spans="1:40" ht="15" customHeight="1" thickTop="1">
      <c r="A13" s="735" t="s">
        <v>1029</v>
      </c>
      <c r="B13" s="1003" t="str">
        <f>R3</f>
        <v>Strong ACID</v>
      </c>
      <c r="C13" s="1003" t="str">
        <f>S3</f>
        <v>Strong BASE</v>
      </c>
      <c r="D13" s="1004" t="str">
        <f>T3</f>
        <v>Carbonic ac.</v>
      </c>
      <c r="E13" s="746" t="s">
        <v>348</v>
      </c>
      <c r="F13" s="843" t="s">
        <v>862</v>
      </c>
      <c r="G13" s="816"/>
      <c r="H13" s="816"/>
      <c r="I13" s="1135"/>
      <c r="J13" s="853"/>
      <c r="K13" s="854"/>
      <c r="L13" s="232"/>
      <c r="M13" s="928"/>
      <c r="N13" s="611" t="s">
        <v>599</v>
      </c>
      <c r="O13" s="612"/>
      <c r="P13" s="232"/>
      <c r="Q13" s="29"/>
      <c r="R13" s="29"/>
      <c r="S13" s="29"/>
      <c r="T13" s="29"/>
      <c r="U13" s="29"/>
      <c r="V13" s="29"/>
      <c r="W13" s="29"/>
      <c r="X13" s="29"/>
      <c r="Y13" s="29"/>
      <c r="Z13" s="29"/>
      <c r="AA13" s="29"/>
      <c r="AB13" s="29"/>
      <c r="AC13" s="29"/>
      <c r="AD13" s="29"/>
      <c r="AE13" s="29"/>
      <c r="AF13" s="943" t="s">
        <v>961</v>
      </c>
      <c r="AG13" s="237" t="str">
        <f>IF(VLOOKUP(K$2,Database!$B$22:$R$301,16)="","",VLOOKUP(K$2,Database!$B$22:$R$301,16))</f>
        <v/>
      </c>
      <c r="AH13" s="237" t="str">
        <f>IF(VLOOKUP(L$2,Database!$B$22:$R$301,16)="","",VLOOKUP(L$2,Database!$B$22:$R$301,16))</f>
        <v/>
      </c>
      <c r="AI13" s="237" t="str">
        <f>IF(VLOOKUP(M$2,Database!$B$22:$R$301,16)="","",VLOOKUP(M$2,Database!$B$22:$R$301,16))</f>
        <v/>
      </c>
      <c r="AJ13" s="237">
        <f>IF(VLOOKUP(N$2,Database!$B$22:$R$301,16)="","",VLOOKUP(N$2,Database!$B$22:$R$301,16))</f>
        <v>4961023</v>
      </c>
      <c r="AK13" s="237" t="str">
        <f>IF(VLOOKUP(O$2,Database!$B$22:$R$301,16)="","",VLOOKUP(O$2,Database!$B$22:$R$301,16))</f>
        <v/>
      </c>
      <c r="AL13" s="237" t="str">
        <f>IF(VLOOKUP(P$2,Database!$B$22:$R$301,16)="","",VLOOKUP(P$2,Database!$B$22:$R$301,16))</f>
        <v/>
      </c>
      <c r="AM13" s="238" t="str">
        <f>IF(VLOOKUP(Q$2,Database!$B$22:$R$301,16)="","",VLOOKUP(Q$2,Database!$B$22:$R$301,16))</f>
        <v/>
      </c>
      <c r="AN13" s="29"/>
    </row>
    <row r="14" spans="1:40" ht="15" customHeight="1" thickBot="1">
      <c r="A14" s="736" t="s">
        <v>332</v>
      </c>
      <c r="B14" s="774"/>
      <c r="C14" s="775">
        <v>0.1</v>
      </c>
      <c r="D14" s="776"/>
      <c r="E14" s="747" t="s">
        <v>866</v>
      </c>
      <c r="F14" s="817" t="s">
        <v>1032</v>
      </c>
      <c r="G14" s="817" t="s">
        <v>608</v>
      </c>
      <c r="H14" s="1132" t="s">
        <v>609</v>
      </c>
      <c r="I14" s="1136"/>
      <c r="J14" s="886" t="s">
        <v>904</v>
      </c>
      <c r="K14" s="884"/>
      <c r="L14" s="368"/>
      <c r="M14" s="929"/>
      <c r="N14" s="929" t="s">
        <v>600</v>
      </c>
      <c r="O14" s="930"/>
      <c r="P14" s="368"/>
      <c r="Q14" s="29"/>
      <c r="R14" s="29"/>
      <c r="S14" s="29"/>
      <c r="T14" s="29"/>
      <c r="U14" s="29"/>
      <c r="V14" s="29"/>
      <c r="W14" s="29"/>
      <c r="X14" s="29"/>
      <c r="Y14" s="29"/>
      <c r="Z14" s="29"/>
      <c r="AA14" s="29"/>
      <c r="AB14" s="29"/>
      <c r="AC14" s="29"/>
      <c r="AD14" s="29"/>
      <c r="AE14" s="29"/>
      <c r="AF14" s="944" t="s">
        <v>962</v>
      </c>
      <c r="AG14" s="239" t="str">
        <f>IF(VLOOKUP(K$2,Database!$B$22:$R$301,17)="","",VLOOKUP(K$2,Database!$B$22:$R$301,17))</f>
        <v/>
      </c>
      <c r="AH14" s="239" t="str">
        <f>IF(VLOOKUP(L$2,Database!$B$22:$R$301,17)="","",VLOOKUP(L$2,Database!$B$22:$R$301,17))</f>
        <v/>
      </c>
      <c r="AI14" s="239" t="str">
        <f>IF(VLOOKUP(M$2,Database!$B$22:$R$301,17)="","",VLOOKUP(M$2,Database!$B$22:$R$301,17))</f>
        <v/>
      </c>
      <c r="AJ14" s="239">
        <f>IF(VLOOKUP(N$2,Database!$B$22:$R$301,17)="","",VLOOKUP(N$2,Database!$B$22:$R$301,17))</f>
        <v>5263615</v>
      </c>
      <c r="AK14" s="239" t="str">
        <f>IF(VLOOKUP(O$2,Database!$B$22:$R$301,17)="","",VLOOKUP(O$2,Database!$B$22:$R$301,17))</f>
        <v/>
      </c>
      <c r="AL14" s="239" t="str">
        <f>IF(VLOOKUP(P$2,Database!$B$22:$R$301,17)="","",VLOOKUP(P$2,Database!$B$22:$R$301,17))</f>
        <v/>
      </c>
      <c r="AM14" s="240" t="str">
        <f>IF(VLOOKUP(Q$2,Database!$B$22:$R$301,17)="","",VLOOKUP(Q$2,Database!$B$22:$R$301,17))</f>
        <v/>
      </c>
      <c r="AN14" s="29"/>
    </row>
    <row r="15" spans="1:40" ht="15" customHeight="1" thickTop="1" thickBot="1">
      <c r="A15" s="736" t="s">
        <v>333</v>
      </c>
      <c r="B15" s="857"/>
      <c r="C15" s="778"/>
      <c r="D15" s="779"/>
      <c r="E15" s="737"/>
      <c r="F15" s="844" t="s">
        <v>610</v>
      </c>
      <c r="G15" s="819" t="s">
        <v>611</v>
      </c>
      <c r="H15" s="820" t="s">
        <v>612</v>
      </c>
      <c r="I15" s="1137"/>
      <c r="J15" s="887" t="s">
        <v>912</v>
      </c>
      <c r="K15" s="885"/>
      <c r="L15" s="721"/>
      <c r="M15" s="931"/>
      <c r="N15" s="931" t="s">
        <v>601</v>
      </c>
      <c r="O15" s="629"/>
      <c r="P15" s="721"/>
      <c r="Q15" s="29"/>
      <c r="R15" s="29"/>
      <c r="S15" s="29"/>
      <c r="T15" s="29"/>
      <c r="U15" s="29"/>
      <c r="V15" s="29"/>
      <c r="W15" s="29"/>
      <c r="X15" s="29"/>
      <c r="Y15" s="112"/>
      <c r="Z15" s="29"/>
      <c r="AA15" s="29"/>
      <c r="AB15" s="29"/>
      <c r="AC15" s="29"/>
      <c r="AD15" s="29"/>
      <c r="AE15" s="29"/>
      <c r="AF15" s="29"/>
      <c r="AG15" s="29"/>
      <c r="AH15" s="29"/>
      <c r="AI15" s="29"/>
      <c r="AJ15" s="29"/>
      <c r="AK15" s="29"/>
      <c r="AL15" s="29"/>
      <c r="AM15" s="29"/>
      <c r="AN15" s="29"/>
    </row>
    <row r="16" spans="1:40" ht="15" customHeight="1" thickBot="1">
      <c r="A16" s="736" t="s">
        <v>879</v>
      </c>
      <c r="B16" s="782"/>
      <c r="C16" s="782"/>
      <c r="D16" s="783"/>
      <c r="E16" s="748" t="s">
        <v>345</v>
      </c>
      <c r="F16" s="845">
        <v>20</v>
      </c>
      <c r="G16" s="846">
        <v>0</v>
      </c>
      <c r="H16" s="1133">
        <f>F16+G16</f>
        <v>20</v>
      </c>
      <c r="I16" s="1136"/>
      <c r="J16" s="721"/>
      <c r="K16" s="875"/>
      <c r="L16" s="721"/>
      <c r="M16" s="721"/>
      <c r="N16" s="29"/>
      <c r="O16" s="29"/>
      <c r="P16" s="29"/>
      <c r="Q16" s="29"/>
      <c r="R16" s="29"/>
      <c r="S16" s="29"/>
      <c r="T16" s="29"/>
      <c r="U16" s="29"/>
      <c r="V16" s="29"/>
      <c r="W16" s="29"/>
      <c r="X16" s="29"/>
      <c r="Y16" s="112"/>
      <c r="Z16" s="29"/>
      <c r="AA16" s="29"/>
      <c r="AB16" s="29"/>
      <c r="AC16" s="29"/>
      <c r="AD16" s="29"/>
      <c r="AE16" s="29"/>
      <c r="AF16" s="29"/>
      <c r="AG16" s="29"/>
      <c r="AH16" s="29"/>
      <c r="AI16" s="29"/>
      <c r="AJ16" s="29"/>
      <c r="AK16" s="29"/>
      <c r="AL16" s="29"/>
      <c r="AM16" s="29"/>
      <c r="AN16" s="29"/>
    </row>
    <row r="17" spans="1:40" ht="15" customHeight="1" thickTop="1">
      <c r="A17" s="738" t="s">
        <v>880</v>
      </c>
      <c r="B17" s="739">
        <f>SUM(B14:B16)</f>
        <v>0</v>
      </c>
      <c r="C17" s="739">
        <f>SUM(C14:C16)</f>
        <v>0.1</v>
      </c>
      <c r="D17" s="739">
        <f>SUM(D14:D16)</f>
        <v>0</v>
      </c>
      <c r="E17" s="740">
        <f>SUM(B17:D17)</f>
        <v>0.1</v>
      </c>
      <c r="F17" s="727" t="s">
        <v>873</v>
      </c>
      <c r="G17" s="728"/>
      <c r="H17" s="744"/>
      <c r="I17" s="1138"/>
      <c r="J17" s="722"/>
      <c r="K17" s="722"/>
      <c r="L17" s="722"/>
      <c r="M17" s="722"/>
      <c r="N17" s="29"/>
      <c r="O17" s="29"/>
      <c r="P17" s="29"/>
      <c r="Q17" s="29"/>
      <c r="R17" s="29"/>
      <c r="S17" s="29"/>
      <c r="T17" s="29"/>
      <c r="U17" s="29"/>
      <c r="V17" s="29"/>
      <c r="W17" s="29"/>
      <c r="X17" s="29"/>
      <c r="Y17" s="112"/>
      <c r="Z17" s="29"/>
      <c r="AA17" s="29"/>
      <c r="AB17" s="29"/>
      <c r="AC17" s="29"/>
      <c r="AD17" s="29"/>
      <c r="AE17" s="29"/>
      <c r="AF17" s="29"/>
      <c r="AG17" s="29"/>
      <c r="AH17" s="29"/>
      <c r="AI17" s="29"/>
      <c r="AJ17" s="29"/>
      <c r="AK17" s="29"/>
      <c r="AL17" s="29"/>
      <c r="AM17" s="29"/>
      <c r="AN17" s="29"/>
    </row>
    <row r="18" spans="1:40" ht="15" customHeight="1" thickBot="1">
      <c r="A18" s="741" t="s">
        <v>878</v>
      </c>
      <c r="B18" s="742">
        <f>B15+2*B16</f>
        <v>0</v>
      </c>
      <c r="C18" s="742">
        <f>C15+2*C16</f>
        <v>0</v>
      </c>
      <c r="D18" s="742">
        <f>D15+2*D16</f>
        <v>0</v>
      </c>
      <c r="E18" s="743">
        <f>SUM(B18:D18)</f>
        <v>0</v>
      </c>
      <c r="F18" s="749">
        <v>50</v>
      </c>
      <c r="G18" s="729"/>
      <c r="H18" s="1134" t="s">
        <v>861</v>
      </c>
      <c r="I18" s="1138"/>
      <c r="J18" s="722"/>
      <c r="K18" s="722"/>
      <c r="L18" s="722"/>
      <c r="M18" s="722"/>
      <c r="N18" s="29"/>
      <c r="O18" s="29"/>
      <c r="P18" s="29"/>
      <c r="Q18" s="29"/>
      <c r="R18" s="29"/>
      <c r="S18" s="29"/>
      <c r="T18" s="29"/>
      <c r="U18" s="29"/>
      <c r="V18" s="29"/>
      <c r="W18" s="29"/>
      <c r="X18" s="29"/>
      <c r="Y18" s="112"/>
      <c r="Z18" s="29"/>
      <c r="AA18" s="29"/>
      <c r="AB18" s="29"/>
      <c r="AC18" s="29"/>
      <c r="AD18" s="29"/>
      <c r="AE18" s="29"/>
      <c r="AF18" s="29"/>
      <c r="AG18" s="29"/>
      <c r="AH18" s="29"/>
      <c r="AI18" s="29"/>
      <c r="AJ18" s="29"/>
      <c r="AK18" s="29"/>
      <c r="AL18" s="29"/>
      <c r="AM18" s="29"/>
      <c r="AN18" s="29"/>
    </row>
    <row r="19" spans="1:40" ht="30" customHeight="1" thickTop="1" thickBot="1">
      <c r="A19" s="896" t="s">
        <v>926</v>
      </c>
      <c r="B19" s="59"/>
      <c r="C19" s="59"/>
      <c r="D19" s="59"/>
      <c r="E19" s="26"/>
      <c r="F19" s="2"/>
      <c r="G19" s="117"/>
      <c r="H19" s="2"/>
      <c r="I19" s="118"/>
      <c r="J19" s="26"/>
      <c r="K19" s="26"/>
      <c r="L19" s="26"/>
      <c r="M19" s="26"/>
      <c r="N19" s="29"/>
      <c r="O19" s="29"/>
      <c r="P19" s="29"/>
      <c r="Q19" s="29"/>
      <c r="R19" s="29"/>
      <c r="S19" s="29"/>
      <c r="T19" s="29"/>
      <c r="U19" s="29"/>
      <c r="V19" s="29"/>
      <c r="W19" s="29"/>
      <c r="X19" s="29"/>
      <c r="Y19" s="112"/>
      <c r="Z19" s="26"/>
      <c r="AA19" s="26"/>
      <c r="AB19" s="26"/>
      <c r="AC19" s="26"/>
      <c r="AD19" s="26"/>
      <c r="AE19" s="26"/>
      <c r="AF19" s="26"/>
      <c r="AG19" s="26"/>
      <c r="AH19" s="26"/>
      <c r="AI19" s="26"/>
      <c r="AJ19" s="26"/>
      <c r="AK19" s="26"/>
      <c r="AL19" s="26"/>
      <c r="AM19" s="26"/>
      <c r="AN19" s="26"/>
    </row>
    <row r="20" spans="1:40" ht="18.75" customHeight="1" thickTop="1" thickBot="1">
      <c r="A20" s="897" t="s">
        <v>863</v>
      </c>
      <c r="B20" s="898" t="s">
        <v>858</v>
      </c>
      <c r="C20" s="899">
        <f>B21</f>
        <v>27.910000000000014</v>
      </c>
      <c r="D20" s="26"/>
      <c r="E20" s="26"/>
      <c r="F20" s="910"/>
      <c r="G20" s="911" t="s">
        <v>848</v>
      </c>
      <c r="H20" s="912"/>
      <c r="I20" s="26"/>
      <c r="J20" s="26"/>
      <c r="K20" s="26"/>
      <c r="L20" s="26"/>
      <c r="M20" s="26"/>
      <c r="N20" s="29"/>
      <c r="O20" s="29"/>
      <c r="P20" s="29"/>
      <c r="Q20" s="29"/>
      <c r="R20" s="29"/>
      <c r="S20" s="29"/>
      <c r="T20" s="29"/>
      <c r="U20" s="29"/>
      <c r="V20" s="29"/>
      <c r="W20" s="29"/>
      <c r="X20" s="29"/>
      <c r="Y20" s="112"/>
      <c r="Z20" s="26"/>
      <c r="AA20" s="26"/>
      <c r="AB20" s="26"/>
      <c r="AC20" s="26"/>
      <c r="AD20" s="26"/>
      <c r="AE20" s="26"/>
      <c r="AF20" s="26"/>
      <c r="AG20" s="26"/>
      <c r="AH20" s="26"/>
      <c r="AI20" s="26"/>
      <c r="AJ20" s="26"/>
      <c r="AK20" s="26"/>
      <c r="AL20" s="26"/>
      <c r="AM20" s="26"/>
      <c r="AN20" s="26"/>
    </row>
    <row r="21" spans="1:40" ht="24">
      <c r="A21" s="900" t="s">
        <v>857</v>
      </c>
      <c r="B21" s="694">
        <v>27.910000000000014</v>
      </c>
      <c r="C21" s="901" t="s">
        <v>864</v>
      </c>
      <c r="D21" s="26"/>
      <c r="E21" s="26"/>
      <c r="F21" s="902" t="s">
        <v>913</v>
      </c>
      <c r="G21" s="694">
        <v>12.21319927694276</v>
      </c>
      <c r="H21" s="913"/>
      <c r="I21" s="26"/>
      <c r="J21" s="26"/>
      <c r="K21" s="26"/>
      <c r="L21" s="26"/>
      <c r="M21" s="26"/>
      <c r="N21" s="29"/>
      <c r="O21" s="29"/>
      <c r="P21" s="29"/>
      <c r="Q21" s="29"/>
      <c r="R21" s="29"/>
      <c r="S21" s="29"/>
      <c r="T21" s="29"/>
      <c r="U21" s="29"/>
      <c r="V21" s="29"/>
      <c r="W21" s="29"/>
      <c r="X21" s="29"/>
      <c r="Y21" s="112"/>
      <c r="Z21" s="26"/>
      <c r="AA21" s="26"/>
      <c r="AB21" s="26"/>
      <c r="AC21" s="26"/>
      <c r="AD21" s="26"/>
      <c r="AE21" s="26"/>
      <c r="AF21" s="26"/>
      <c r="AG21" s="26"/>
      <c r="AH21" s="26"/>
      <c r="AI21" s="26"/>
      <c r="AJ21" s="26"/>
      <c r="AK21" s="26"/>
      <c r="AL21" s="26"/>
      <c r="AM21" s="26"/>
      <c r="AN21" s="26"/>
    </row>
    <row r="22" spans="1:40" ht="18" customHeight="1" thickBot="1">
      <c r="A22" s="902"/>
      <c r="B22" s="903" t="s">
        <v>872</v>
      </c>
      <c r="C22" s="904"/>
      <c r="D22" s="26"/>
      <c r="E22" s="26"/>
      <c r="F22" s="914"/>
      <c r="G22" s="915"/>
      <c r="H22" s="916"/>
      <c r="I22" s="26"/>
      <c r="J22" s="26"/>
      <c r="K22" s="26"/>
      <c r="L22" s="26"/>
      <c r="M22" s="26"/>
      <c r="N22" s="29"/>
      <c r="O22" s="29"/>
      <c r="P22" s="29"/>
      <c r="Q22" s="29"/>
      <c r="R22" s="29"/>
      <c r="S22" s="29"/>
      <c r="T22" s="29"/>
      <c r="U22" s="29"/>
      <c r="V22" s="29"/>
      <c r="W22" s="29"/>
      <c r="X22" s="29"/>
      <c r="Y22" s="112"/>
      <c r="Z22" s="26"/>
      <c r="AA22" s="26"/>
      <c r="AB22" s="26"/>
      <c r="AC22" s="26"/>
      <c r="AD22" s="26"/>
      <c r="AE22" s="26"/>
      <c r="AF22" s="26"/>
      <c r="AG22" s="26"/>
      <c r="AH22" s="26"/>
      <c r="AI22" s="26"/>
      <c r="AJ22" s="26"/>
      <c r="AK22" s="26"/>
      <c r="AL22" s="26"/>
      <c r="AM22" s="26"/>
      <c r="AN22" s="26"/>
    </row>
    <row r="23" spans="1:40" ht="18" customHeight="1" thickTop="1" thickBot="1">
      <c r="A23" s="902"/>
      <c r="B23" s="905"/>
      <c r="C23" s="904"/>
      <c r="D23" s="26"/>
      <c r="E23" s="26"/>
      <c r="F23" s="26"/>
      <c r="G23" s="26"/>
      <c r="H23" s="26"/>
      <c r="I23" s="26"/>
      <c r="J23" s="26"/>
      <c r="K23" s="26"/>
      <c r="L23" s="26"/>
      <c r="M23" s="26"/>
      <c r="N23" s="26"/>
      <c r="O23" s="26"/>
      <c r="P23" s="26"/>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row>
    <row r="24" spans="1:40" ht="18" customHeight="1" thickTop="1">
      <c r="A24" s="902"/>
      <c r="B24" s="906"/>
      <c r="C24" s="904"/>
      <c r="D24" s="26"/>
      <c r="E24" s="26"/>
      <c r="F24" s="48"/>
      <c r="G24" s="695" t="s">
        <v>851</v>
      </c>
      <c r="H24" s="696"/>
      <c r="I24" s="26"/>
      <c r="J24" s="26"/>
      <c r="K24" s="26"/>
      <c r="L24" s="26"/>
      <c r="M24" s="26"/>
      <c r="N24" s="26"/>
      <c r="O24" s="26"/>
      <c r="P24" s="26"/>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row>
    <row r="25" spans="1:40" ht="18" customHeight="1">
      <c r="A25" s="902"/>
      <c r="B25" s="905"/>
      <c r="C25" s="904"/>
      <c r="D25" s="26"/>
      <c r="E25" s="26"/>
      <c r="F25" s="697" t="b">
        <v>1</v>
      </c>
      <c r="G25" s="698" t="s">
        <v>865</v>
      </c>
      <c r="H25" s="699"/>
      <c r="I25" s="26"/>
      <c r="J25" s="26"/>
      <c r="K25" s="26"/>
      <c r="L25" s="26"/>
      <c r="M25" s="26"/>
      <c r="N25" s="26"/>
      <c r="O25" s="26"/>
      <c r="P25" s="26"/>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row>
    <row r="26" spans="1:40" ht="15.75" thickBot="1">
      <c r="A26" s="907"/>
      <c r="B26" s="908"/>
      <c r="C26" s="909"/>
      <c r="D26" s="26"/>
      <c r="E26" s="26"/>
      <c r="F26" s="700" t="b">
        <v>1</v>
      </c>
      <c r="G26" s="719" t="s">
        <v>855</v>
      </c>
      <c r="H26" s="701"/>
      <c r="I26" s="26"/>
      <c r="J26" s="26"/>
      <c r="K26" s="26"/>
      <c r="L26" s="26"/>
      <c r="M26" s="26"/>
      <c r="N26" s="26"/>
      <c r="O26" s="26"/>
      <c r="P26" s="26"/>
      <c r="Q26" s="26"/>
      <c r="R26" s="26"/>
      <c r="S26" s="26"/>
      <c r="T26" s="26"/>
      <c r="U26" s="26"/>
      <c r="V26" s="26"/>
      <c r="W26" s="26"/>
      <c r="X26" s="29"/>
      <c r="Y26" s="112"/>
      <c r="Z26" s="26"/>
      <c r="AA26" s="26"/>
      <c r="AB26" s="26"/>
      <c r="AC26" s="26"/>
      <c r="AD26" s="26"/>
      <c r="AE26" s="26"/>
      <c r="AF26" s="26"/>
      <c r="AG26" s="26"/>
      <c r="AH26" s="26"/>
      <c r="AI26" s="26"/>
      <c r="AJ26" s="26"/>
      <c r="AK26" s="26"/>
      <c r="AL26" s="26"/>
      <c r="AM26" s="26"/>
      <c r="AN26" s="26"/>
    </row>
    <row r="27" spans="1:40" ht="14.25" thickTop="1" thickBot="1">
      <c r="A27" s="26"/>
      <c r="B27" s="26"/>
      <c r="C27" s="26"/>
      <c r="D27" s="26"/>
      <c r="E27" s="26"/>
      <c r="F27" s="26"/>
      <c r="G27" s="26"/>
      <c r="H27" s="26"/>
      <c r="I27" s="26"/>
      <c r="J27" s="26"/>
      <c r="K27" s="26"/>
      <c r="L27" s="26"/>
      <c r="M27" s="26"/>
      <c r="N27" s="26"/>
      <c r="O27" s="26"/>
      <c r="P27" s="26"/>
      <c r="Q27" s="26"/>
      <c r="R27" s="26"/>
      <c r="S27" s="26"/>
      <c r="T27" s="26"/>
      <c r="U27" s="26"/>
      <c r="V27" s="26"/>
      <c r="W27" s="26"/>
      <c r="X27" s="29"/>
      <c r="Y27" s="112"/>
      <c r="Z27" s="26"/>
      <c r="AA27" s="26"/>
      <c r="AB27" s="26"/>
      <c r="AC27" s="26"/>
      <c r="AD27" s="26"/>
      <c r="AE27" s="26"/>
      <c r="AF27" s="26"/>
      <c r="AG27" s="26"/>
      <c r="AH27" s="26"/>
      <c r="AI27" s="26"/>
      <c r="AJ27" s="26"/>
      <c r="AK27" s="26"/>
      <c r="AL27" s="26"/>
      <c r="AM27" s="26"/>
      <c r="AN27" s="26"/>
    </row>
    <row r="28" spans="1:40" ht="15.75" thickTop="1">
      <c r="A28" s="702" t="s">
        <v>881</v>
      </c>
      <c r="B28" s="703"/>
      <c r="C28" s="26"/>
      <c r="D28" s="704"/>
      <c r="E28" s="705"/>
      <c r="F28" s="26"/>
      <c r="G28" s="847" t="s">
        <v>916</v>
      </c>
      <c r="H28" s="848"/>
      <c r="I28" s="26"/>
      <c r="J28" s="26"/>
      <c r="K28" s="26"/>
      <c r="L28" s="26"/>
      <c r="M28" s="26"/>
      <c r="N28" s="26"/>
      <c r="O28" s="26"/>
      <c r="P28" s="26"/>
      <c r="Q28" s="26"/>
      <c r="R28" s="26"/>
      <c r="S28" s="26"/>
      <c r="T28" s="26"/>
      <c r="U28" s="26"/>
      <c r="V28" s="26"/>
      <c r="W28" s="26"/>
      <c r="X28" s="29"/>
      <c r="Y28" s="112"/>
      <c r="Z28" s="26"/>
      <c r="AA28" s="26"/>
      <c r="AB28" s="26"/>
      <c r="AC28" s="26"/>
      <c r="AD28" s="26"/>
      <c r="AE28" s="26"/>
      <c r="AF28" s="26"/>
      <c r="AG28" s="26"/>
      <c r="AH28" s="26"/>
      <c r="AI28" s="26"/>
      <c r="AJ28" s="26"/>
      <c r="AK28" s="26"/>
      <c r="AL28" s="26"/>
      <c r="AM28" s="26"/>
      <c r="AN28" s="26"/>
    </row>
    <row r="29" spans="1:40" ht="27" customHeight="1">
      <c r="A29" s="706" t="s">
        <v>852</v>
      </c>
      <c r="B29" s="707">
        <v>7.7</v>
      </c>
      <c r="C29" s="26"/>
      <c r="D29" s="708"/>
      <c r="E29" s="709"/>
      <c r="F29" s="26"/>
      <c r="G29" s="849" t="s">
        <v>849</v>
      </c>
      <c r="H29" s="850" t="s">
        <v>127</v>
      </c>
      <c r="I29" s="26"/>
      <c r="J29" s="26"/>
      <c r="K29" s="26"/>
      <c r="L29" s="26"/>
      <c r="M29" s="26"/>
      <c r="N29" s="26"/>
      <c r="O29" s="26"/>
      <c r="P29" s="26"/>
      <c r="Q29" s="26"/>
      <c r="R29" s="26"/>
      <c r="S29" s="26"/>
      <c r="T29" s="26"/>
      <c r="U29" s="26"/>
      <c r="V29" s="26"/>
      <c r="W29" s="26"/>
      <c r="X29" s="29"/>
      <c r="Y29" s="112"/>
      <c r="Z29" s="26"/>
      <c r="AA29" s="26"/>
      <c r="AB29" s="26"/>
      <c r="AC29" s="26"/>
      <c r="AD29" s="26"/>
      <c r="AE29" s="26"/>
      <c r="AF29" s="26"/>
      <c r="AG29" s="26"/>
      <c r="AH29" s="26"/>
      <c r="AI29" s="26"/>
      <c r="AJ29" s="26"/>
      <c r="AK29" s="26"/>
      <c r="AL29" s="26"/>
      <c r="AM29" s="26"/>
      <c r="AN29" s="26"/>
    </row>
    <row r="30" spans="1:40" ht="15" customHeight="1">
      <c r="A30" s="710" t="s">
        <v>853</v>
      </c>
      <c r="B30" s="876" t="s">
        <v>914</v>
      </c>
      <c r="C30" s="26"/>
      <c r="D30" s="708"/>
      <c r="E30" s="709"/>
      <c r="F30" s="26"/>
      <c r="G30" s="851" t="s">
        <v>516</v>
      </c>
      <c r="H30" s="882">
        <v>99.99999650215382</v>
      </c>
      <c r="I30" s="26"/>
      <c r="J30" s="26"/>
      <c r="K30" s="26"/>
      <c r="L30" s="26"/>
      <c r="M30" s="26"/>
      <c r="N30" s="26"/>
      <c r="O30" s="26"/>
      <c r="P30" s="26"/>
      <c r="Q30" s="26"/>
      <c r="R30" s="26"/>
      <c r="S30" s="26"/>
      <c r="T30" s="26"/>
      <c r="U30" s="26"/>
      <c r="V30" s="26"/>
      <c r="W30" s="26"/>
      <c r="X30" s="29"/>
      <c r="Y30" s="112"/>
      <c r="Z30" s="26"/>
      <c r="AA30" s="26"/>
      <c r="AB30" s="26"/>
      <c r="AC30" s="26"/>
      <c r="AD30" s="26"/>
      <c r="AE30" s="26"/>
      <c r="AF30" s="26"/>
      <c r="AG30" s="26"/>
      <c r="AH30" s="26"/>
      <c r="AI30" s="26"/>
      <c r="AJ30" s="26"/>
      <c r="AK30" s="26"/>
      <c r="AL30" s="26"/>
      <c r="AM30" s="26"/>
      <c r="AN30" s="26"/>
    </row>
    <row r="31" spans="1:40" ht="18" customHeight="1">
      <c r="A31" s="715" t="s">
        <v>845</v>
      </c>
      <c r="B31" s="924">
        <f>B29+1</f>
        <v>8.6999999999999993</v>
      </c>
      <c r="C31" s="26"/>
      <c r="D31" s="712">
        <v>12.21319927694276</v>
      </c>
      <c r="E31" s="713">
        <f>$D$31</f>
        <v>12.21319927694276</v>
      </c>
      <c r="F31" s="26"/>
      <c r="G31" s="851" t="s">
        <v>517</v>
      </c>
      <c r="H31" s="882">
        <v>3.4978461854644776E-6</v>
      </c>
      <c r="I31" s="94"/>
      <c r="J31" s="26"/>
      <c r="K31" s="26"/>
      <c r="L31" s="26"/>
      <c r="M31" s="26"/>
      <c r="N31" s="26"/>
      <c r="O31" s="26"/>
      <c r="P31" s="26"/>
      <c r="Q31" s="26"/>
      <c r="R31" s="2"/>
      <c r="S31" s="2"/>
      <c r="T31" s="2"/>
      <c r="U31" s="2"/>
      <c r="V31" s="26"/>
      <c r="W31" s="26"/>
      <c r="X31" s="29"/>
      <c r="Y31" s="112"/>
      <c r="Z31" s="26"/>
      <c r="AA31" s="26"/>
      <c r="AB31" s="26"/>
      <c r="AC31" s="26"/>
      <c r="AD31" s="26"/>
      <c r="AE31" s="26"/>
      <c r="AF31" s="26"/>
      <c r="AG31" s="26"/>
      <c r="AH31" s="26"/>
      <c r="AI31" s="26"/>
      <c r="AJ31" s="26"/>
      <c r="AK31" s="26"/>
      <c r="AL31" s="26"/>
      <c r="AM31" s="26"/>
      <c r="AN31" s="26"/>
    </row>
    <row r="32" spans="1:40" ht="18" customHeight="1">
      <c r="A32" s="714" t="s">
        <v>844</v>
      </c>
      <c r="B32" s="877">
        <f>B29</f>
        <v>7.7</v>
      </c>
      <c r="C32" s="26"/>
      <c r="D32" s="712">
        <f>$D$31</f>
        <v>12.21319927694276</v>
      </c>
      <c r="E32" s="713">
        <f>$D$31</f>
        <v>12.21319927694276</v>
      </c>
      <c r="F32" s="26"/>
      <c r="G32" s="851" t="s">
        <v>899</v>
      </c>
      <c r="H32" s="882"/>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row>
    <row r="33" spans="1:40" ht="18" customHeight="1" thickBot="1">
      <c r="A33" s="711" t="s">
        <v>843</v>
      </c>
      <c r="B33" s="925">
        <f>B29-1</f>
        <v>6.7</v>
      </c>
      <c r="C33" s="26"/>
      <c r="D33" s="712">
        <f>$D$31</f>
        <v>12.21319927694276</v>
      </c>
      <c r="E33" s="713">
        <f>$D$31</f>
        <v>12.21319927694276</v>
      </c>
      <c r="F33" s="26"/>
      <c r="G33" s="851" t="s">
        <v>900</v>
      </c>
      <c r="H33" s="882"/>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row>
    <row r="34" spans="1:40" ht="18" customHeight="1">
      <c r="A34" s="716" t="s">
        <v>854</v>
      </c>
      <c r="B34" s="878"/>
      <c r="C34" s="26"/>
      <c r="D34" s="712">
        <f>$D$31</f>
        <v>12.21319927694276</v>
      </c>
      <c r="E34" s="713">
        <f>$D$31</f>
        <v>12.21319927694276</v>
      </c>
      <c r="F34" s="26"/>
      <c r="G34" s="851" t="s">
        <v>901</v>
      </c>
      <c r="H34" s="882"/>
      <c r="I34" s="26"/>
      <c r="J34" s="26"/>
      <c r="K34" s="26"/>
      <c r="L34" s="26"/>
      <c r="M34" s="26"/>
      <c r="N34" s="26"/>
      <c r="O34" s="26"/>
      <c r="P34" s="26"/>
      <c r="Q34" s="26"/>
      <c r="R34" s="730" t="s">
        <v>616</v>
      </c>
      <c r="S34" s="731"/>
      <c r="T34" s="2"/>
      <c r="U34" s="2"/>
      <c r="V34" s="26"/>
      <c r="W34" s="26"/>
      <c r="X34" s="29"/>
      <c r="Y34" s="112"/>
      <c r="Z34" s="26"/>
      <c r="AA34" s="26"/>
      <c r="AB34" s="26"/>
      <c r="AC34" s="26"/>
      <c r="AD34" s="26"/>
      <c r="AE34" s="26"/>
      <c r="AF34" s="26"/>
      <c r="AG34" s="26"/>
      <c r="AH34" s="26"/>
      <c r="AI34" s="26"/>
      <c r="AJ34" s="26"/>
      <c r="AK34" s="26"/>
      <c r="AL34" s="26"/>
      <c r="AM34" s="26"/>
      <c r="AN34" s="26"/>
    </row>
    <row r="35" spans="1:40" ht="18" customHeight="1" thickBot="1">
      <c r="A35" s="30" t="s">
        <v>849</v>
      </c>
      <c r="B35" s="879" t="s">
        <v>856</v>
      </c>
      <c r="C35" s="26"/>
      <c r="D35" s="712">
        <f>$D$31</f>
        <v>12.21319927694276</v>
      </c>
      <c r="E35" s="713">
        <f>$D$31</f>
        <v>12.21319927694276</v>
      </c>
      <c r="F35" s="26"/>
      <c r="G35" s="851" t="s">
        <v>902</v>
      </c>
      <c r="H35" s="882"/>
      <c r="I35" s="26"/>
      <c r="J35" s="26"/>
      <c r="K35" s="26"/>
      <c r="L35" s="26"/>
      <c r="M35" s="26"/>
      <c r="N35" s="26"/>
      <c r="O35" s="26"/>
      <c r="P35" s="26"/>
      <c r="Q35" s="26"/>
      <c r="R35" s="730" t="s">
        <v>617</v>
      </c>
      <c r="S35" s="732"/>
      <c r="T35" s="2"/>
      <c r="U35" s="2"/>
      <c r="V35" s="26"/>
      <c r="W35" s="26"/>
      <c r="X35" s="29"/>
      <c r="Y35" s="112"/>
      <c r="Z35" s="26"/>
      <c r="AA35" s="26"/>
      <c r="AB35" s="26"/>
      <c r="AC35" s="26"/>
      <c r="AD35" s="26"/>
      <c r="AE35" s="26"/>
      <c r="AF35" s="26"/>
      <c r="AG35" s="26"/>
      <c r="AH35" s="26"/>
      <c r="AI35" s="26"/>
      <c r="AJ35" s="26"/>
      <c r="AK35" s="26"/>
      <c r="AL35" s="26"/>
      <c r="AM35" s="26"/>
      <c r="AN35" s="26"/>
    </row>
    <row r="36" spans="1:40" ht="18" customHeight="1" thickTop="1" thickBot="1">
      <c r="A36" s="693" t="s">
        <v>846</v>
      </c>
      <c r="B36" s="880">
        <v>99.996932480015474</v>
      </c>
      <c r="C36" s="26"/>
      <c r="D36" s="942" t="s">
        <v>850</v>
      </c>
      <c r="E36" s="717"/>
      <c r="F36" s="26"/>
      <c r="G36" s="852" t="s">
        <v>903</v>
      </c>
      <c r="H36" s="883"/>
      <c r="I36" s="26"/>
      <c r="J36" s="26"/>
      <c r="K36" s="26"/>
      <c r="L36" s="26"/>
      <c r="M36" s="26"/>
      <c r="N36" s="26"/>
      <c r="O36" s="26"/>
      <c r="P36" s="26"/>
      <c r="Q36" s="26"/>
      <c r="R36" s="733" t="s">
        <v>618</v>
      </c>
      <c r="S36" s="734"/>
      <c r="T36" s="2"/>
      <c r="U36" s="2"/>
      <c r="V36" s="26"/>
      <c r="W36" s="26"/>
      <c r="X36" s="29"/>
      <c r="Y36" s="112"/>
      <c r="Z36" s="26"/>
      <c r="AA36" s="26"/>
      <c r="AB36" s="26"/>
      <c r="AC36" s="26"/>
      <c r="AD36" s="26"/>
      <c r="AE36" s="26"/>
      <c r="AF36" s="26"/>
      <c r="AG36" s="26"/>
      <c r="AH36" s="26"/>
      <c r="AI36" s="26"/>
      <c r="AJ36" s="26"/>
      <c r="AK36" s="26"/>
      <c r="AL36" s="26"/>
      <c r="AM36" s="26"/>
      <c r="AN36" s="26"/>
    </row>
    <row r="37" spans="1:40" ht="18" customHeight="1" thickTop="1" thickBot="1">
      <c r="A37" s="718" t="s">
        <v>847</v>
      </c>
      <c r="B37" s="881">
        <v>3.0675199845231482E-3</v>
      </c>
      <c r="C37" s="26"/>
      <c r="D37" s="895"/>
      <c r="E37" s="894"/>
      <c r="F37" s="26"/>
      <c r="G37" s="26"/>
      <c r="H37" s="26"/>
      <c r="I37" s="26"/>
      <c r="J37" s="26"/>
      <c r="K37" s="26"/>
      <c r="L37" s="26"/>
      <c r="M37" s="26"/>
      <c r="N37" s="26"/>
      <c r="O37" s="26"/>
      <c r="P37" s="26"/>
      <c r="Q37" s="26"/>
      <c r="R37" s="730" t="s">
        <v>619</v>
      </c>
      <c r="S37" s="731"/>
      <c r="T37" s="2"/>
      <c r="U37" s="2"/>
      <c r="V37" s="26"/>
      <c r="W37" s="26"/>
      <c r="X37" s="29"/>
      <c r="Y37" s="112"/>
      <c r="Z37" s="26"/>
      <c r="AA37" s="26"/>
      <c r="AB37" s="26"/>
      <c r="AC37" s="26"/>
      <c r="AD37" s="26"/>
      <c r="AE37" s="26"/>
      <c r="AF37" s="26"/>
      <c r="AG37" s="26"/>
      <c r="AH37" s="26"/>
      <c r="AI37" s="26"/>
      <c r="AJ37" s="26"/>
      <c r="AK37" s="26"/>
      <c r="AL37" s="26"/>
      <c r="AM37" s="26"/>
      <c r="AN37" s="26"/>
    </row>
    <row r="38" spans="1:40" ht="18" customHeight="1" thickTop="1">
      <c r="A38" s="26"/>
      <c r="B38" s="26"/>
      <c r="C38" s="26"/>
      <c r="D38" s="26"/>
      <c r="E38" s="26"/>
      <c r="F38" s="26"/>
      <c r="G38" s="26"/>
      <c r="H38" s="26"/>
      <c r="I38" s="26"/>
      <c r="J38" s="26"/>
      <c r="K38" s="26"/>
      <c r="L38" s="26"/>
      <c r="M38" s="26"/>
      <c r="N38" s="26"/>
      <c r="O38" s="26"/>
      <c r="P38" s="26"/>
      <c r="Q38" s="26"/>
      <c r="R38" s="730" t="s">
        <v>620</v>
      </c>
      <c r="S38" s="731"/>
      <c r="T38" s="2"/>
      <c r="U38" s="2"/>
      <c r="V38" s="2"/>
      <c r="W38" s="2"/>
      <c r="X38" s="2"/>
      <c r="Y38" s="2"/>
      <c r="Z38" s="2"/>
      <c r="AA38" s="2"/>
      <c r="AB38" s="2"/>
      <c r="AC38" s="2"/>
      <c r="AD38" s="2"/>
      <c r="AE38" s="2"/>
      <c r="AF38" s="2"/>
      <c r="AG38" s="2"/>
      <c r="AH38" s="2"/>
      <c r="AI38" s="2"/>
      <c r="AJ38" s="2"/>
      <c r="AK38" s="2"/>
      <c r="AL38" s="2"/>
      <c r="AM38" s="2"/>
      <c r="AN38" s="2"/>
    </row>
    <row r="39" spans="1:40">
      <c r="A39" s="121" t="s">
        <v>621</v>
      </c>
      <c r="B39" s="121" t="s">
        <v>34</v>
      </c>
      <c r="C39" s="121" t="s">
        <v>621</v>
      </c>
      <c r="D39" s="121" t="s">
        <v>34</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121"/>
      <c r="T39" s="121"/>
      <c r="U39" s="121"/>
      <c r="V39" s="121"/>
      <c r="W39" s="121"/>
      <c r="X39" s="121"/>
      <c r="Y39" s="121"/>
      <c r="Z39" s="121"/>
      <c r="AA39" s="121"/>
      <c r="AB39" s="121"/>
      <c r="AC39" s="121"/>
      <c r="AD39" s="121"/>
      <c r="AE39" s="121"/>
      <c r="AF39" s="121"/>
      <c r="AG39" s="121"/>
      <c r="AH39" s="121"/>
      <c r="AI39" s="121"/>
      <c r="AJ39" s="121"/>
      <c r="AK39" s="121"/>
      <c r="AL39" s="121"/>
      <c r="AM39" s="121"/>
      <c r="AN39" s="121"/>
    </row>
    <row r="40" spans="1:40" ht="25.5">
      <c r="A40" s="318" t="s">
        <v>579</v>
      </c>
      <c r="B40" s="319" t="s">
        <v>622</v>
      </c>
      <c r="C40" s="720" t="s">
        <v>859</v>
      </c>
      <c r="D40" s="720" t="s">
        <v>859</v>
      </c>
      <c r="E40" s="320"/>
      <c r="F40" s="320" t="s">
        <v>346</v>
      </c>
      <c r="G40" s="320" t="s">
        <v>837</v>
      </c>
      <c r="H40" s="320" t="s">
        <v>838</v>
      </c>
      <c r="I40" s="234" t="str">
        <f t="shared" ref="I40:R40" si="10">K3</f>
        <v>HCl</v>
      </c>
      <c r="J40" s="234" t="str">
        <f t="shared" si="10"/>
        <v>Carbonic acid</v>
      </c>
      <c r="K40" s="234" t="str">
        <f t="shared" si="10"/>
        <v>Acetic acid</v>
      </c>
      <c r="L40" s="234" t="str">
        <f t="shared" si="10"/>
        <v>Phenol Red (pKa 7.7)</v>
      </c>
      <c r="M40" s="234" t="str">
        <f t="shared" si="10"/>
        <v>Ammonia</v>
      </c>
      <c r="N40" s="234" t="str">
        <f t="shared" si="10"/>
        <v>Hydroxide ion</v>
      </c>
      <c r="O40" s="234" t="str">
        <f t="shared" si="10"/>
        <v>Glycine</v>
      </c>
      <c r="P40" s="244" t="str">
        <f t="shared" si="10"/>
        <v>Strong ACID</v>
      </c>
      <c r="Q40" s="244" t="str">
        <f t="shared" si="10"/>
        <v>Strong BASE</v>
      </c>
      <c r="R40" s="244" t="str">
        <f t="shared" si="10"/>
        <v>Carbonic ac.</v>
      </c>
      <c r="S40" s="138"/>
      <c r="T40" s="138"/>
      <c r="U40" s="138"/>
      <c r="V40" s="138"/>
      <c r="W40" s="138"/>
      <c r="X40" s="138"/>
      <c r="Y40" s="138"/>
      <c r="Z40" s="138"/>
      <c r="AA40" s="138"/>
      <c r="AB40" s="138"/>
      <c r="AC40" s="138"/>
      <c r="AD40" s="138"/>
      <c r="AE40" s="138"/>
      <c r="AF40" s="138"/>
      <c r="AG40" s="138"/>
      <c r="AH40" s="138"/>
      <c r="AI40" s="138"/>
      <c r="AJ40" s="138"/>
      <c r="AK40" s="138"/>
      <c r="AL40" s="138"/>
      <c r="AM40" s="138"/>
      <c r="AN40" s="138"/>
    </row>
    <row r="41" spans="1:40">
      <c r="A41" s="19">
        <v>0</v>
      </c>
      <c r="B41" s="19">
        <v>2.8732302361167967</v>
      </c>
      <c r="C41" s="889">
        <v>0</v>
      </c>
      <c r="D41" s="19">
        <v>2.8732302361167967</v>
      </c>
      <c r="E41" s="123">
        <v>1.3389666617932572E-3</v>
      </c>
      <c r="F41" s="123">
        <v>0.10009999999813043</v>
      </c>
      <c r="G41" s="123">
        <v>1</v>
      </c>
      <c r="H41" s="123">
        <v>0</v>
      </c>
      <c r="I41" s="125"/>
      <c r="J41" s="125"/>
      <c r="K41" s="125">
        <v>0.9870999507950482</v>
      </c>
      <c r="L41" s="125">
        <v>1.020765315764889</v>
      </c>
      <c r="M41" s="125"/>
      <c r="N41" s="125"/>
      <c r="O41" s="125"/>
      <c r="P41" s="125"/>
      <c r="Q41" s="125">
        <v>0.99999999999986566</v>
      </c>
      <c r="R41" s="125"/>
      <c r="S41" s="125"/>
      <c r="T41" s="125"/>
      <c r="U41" s="125"/>
      <c r="V41" s="125"/>
      <c r="W41" s="17"/>
      <c r="X41" s="17"/>
      <c r="Y41" s="17"/>
      <c r="Z41" s="17"/>
      <c r="AA41" s="17"/>
      <c r="AB41" s="17"/>
      <c r="AC41" s="17"/>
      <c r="AD41" s="17"/>
      <c r="AE41" s="17"/>
      <c r="AF41" s="17"/>
      <c r="AG41" s="17"/>
      <c r="AH41" s="17"/>
      <c r="AI41" s="17"/>
      <c r="AJ41" s="17"/>
      <c r="AK41" s="17"/>
      <c r="AL41" s="17"/>
      <c r="AM41" s="17"/>
      <c r="AN41" s="17"/>
    </row>
    <row r="42" spans="1:40">
      <c r="A42" s="19">
        <v>2</v>
      </c>
      <c r="B42" s="19">
        <v>3.8085675346665084</v>
      </c>
      <c r="C42" s="889">
        <v>2</v>
      </c>
      <c r="D42" s="19">
        <v>3.8085675346665084</v>
      </c>
      <c r="E42" s="123">
        <v>1.5539336285957283E-4</v>
      </c>
      <c r="F42" s="123">
        <v>9.1000000009423987E-2</v>
      </c>
      <c r="G42" s="123">
        <v>0.90909090909090906</v>
      </c>
      <c r="H42" s="123">
        <v>9.0909090909090912E-2</v>
      </c>
      <c r="I42" s="125"/>
      <c r="J42" s="125"/>
      <c r="K42" s="125">
        <v>0.8987895096309122</v>
      </c>
      <c r="L42" s="125">
        <v>1.0023283847338127</v>
      </c>
      <c r="M42" s="125"/>
      <c r="N42" s="125"/>
      <c r="O42" s="125"/>
      <c r="P42" s="125"/>
      <c r="Q42" s="125">
        <v>0.99999999999884237</v>
      </c>
      <c r="R42" s="125"/>
      <c r="S42" s="125"/>
      <c r="T42" s="125"/>
      <c r="U42" s="125"/>
      <c r="V42" s="125"/>
      <c r="W42" s="17"/>
      <c r="X42" s="17"/>
      <c r="Y42" s="17"/>
      <c r="Z42" s="17"/>
      <c r="AA42" s="17"/>
      <c r="AB42" s="17"/>
      <c r="AC42" s="17"/>
      <c r="AD42" s="17"/>
      <c r="AE42" s="17"/>
      <c r="AF42" s="17"/>
      <c r="AG42" s="17"/>
      <c r="AH42" s="17"/>
      <c r="AI42" s="17"/>
      <c r="AJ42" s="17"/>
      <c r="AK42" s="17"/>
      <c r="AL42" s="17"/>
      <c r="AM42" s="17"/>
      <c r="AN42" s="17"/>
    </row>
    <row r="43" spans="1:40">
      <c r="A43" s="19">
        <v>4</v>
      </c>
      <c r="B43" s="19">
        <v>4.1558583942241967</v>
      </c>
      <c r="C43" s="889">
        <v>4</v>
      </c>
      <c r="D43" s="19">
        <v>4.1558583942241967</v>
      </c>
      <c r="E43" s="123">
        <v>6.9846010640012724E-5</v>
      </c>
      <c r="F43" s="123">
        <v>8.341666665964223E-2</v>
      </c>
      <c r="G43" s="123">
        <v>0.83333333333333337</v>
      </c>
      <c r="H43" s="123">
        <v>0.16666666666666666</v>
      </c>
      <c r="I43" s="125"/>
      <c r="J43" s="125"/>
      <c r="K43" s="125">
        <v>0.79966143943113877</v>
      </c>
      <c r="L43" s="125">
        <v>1.0008201765518951</v>
      </c>
      <c r="M43" s="125"/>
      <c r="N43" s="125"/>
      <c r="O43" s="125"/>
      <c r="P43" s="125"/>
      <c r="Q43" s="125">
        <v>0.9999999999974245</v>
      </c>
      <c r="R43" s="125"/>
      <c r="S43" s="125"/>
      <c r="T43" s="125"/>
      <c r="U43" s="125"/>
      <c r="V43" s="125"/>
      <c r="W43" s="17"/>
      <c r="X43" s="17"/>
      <c r="Y43" s="17"/>
      <c r="Z43" s="17"/>
      <c r="AA43" s="17"/>
      <c r="AB43" s="17"/>
      <c r="AC43" s="17"/>
      <c r="AD43" s="17"/>
      <c r="AE43" s="17"/>
      <c r="AF43" s="17"/>
      <c r="AG43" s="17"/>
      <c r="AH43" s="17"/>
      <c r="AI43" s="17"/>
      <c r="AJ43" s="17"/>
      <c r="AK43" s="17"/>
      <c r="AL43" s="17"/>
      <c r="AM43" s="17"/>
      <c r="AN43" s="17"/>
    </row>
    <row r="44" spans="1:40">
      <c r="A44" s="19">
        <v>6</v>
      </c>
      <c r="B44" s="19">
        <v>4.3890868783928454</v>
      </c>
      <c r="C44" s="889">
        <v>6</v>
      </c>
      <c r="D44" s="19">
        <v>4.3890868783928454</v>
      </c>
      <c r="E44" s="123">
        <v>4.0823771229455128E-5</v>
      </c>
      <c r="F44" s="123">
        <v>7.6999999969965732E-2</v>
      </c>
      <c r="G44" s="123">
        <v>0.76923076923076927</v>
      </c>
      <c r="H44" s="123">
        <v>0.23076923076923078</v>
      </c>
      <c r="I44" s="125"/>
      <c r="J44" s="125"/>
      <c r="K44" s="125">
        <v>0.69996921475020357</v>
      </c>
      <c r="L44" s="125">
        <v>1.0001580835029342</v>
      </c>
      <c r="M44" s="125"/>
      <c r="N44" s="125"/>
      <c r="O44" s="125"/>
      <c r="P44" s="125"/>
      <c r="Q44" s="125">
        <v>0.99999999999559352</v>
      </c>
      <c r="R44" s="125"/>
      <c r="S44" s="125"/>
      <c r="T44" s="125"/>
      <c r="U44" s="125"/>
      <c r="V44" s="125"/>
      <c r="W44" s="17"/>
      <c r="X44" s="17"/>
      <c r="Y44" s="17"/>
      <c r="Z44" s="17"/>
      <c r="AA44" s="17"/>
      <c r="AB44" s="17"/>
      <c r="AC44" s="17"/>
      <c r="AD44" s="17"/>
      <c r="AE44" s="17"/>
      <c r="AF44" s="17"/>
      <c r="AG44" s="17"/>
      <c r="AH44" s="17"/>
      <c r="AI44" s="17"/>
      <c r="AJ44" s="17"/>
      <c r="AK44" s="17"/>
      <c r="AL44" s="17"/>
      <c r="AM44" s="17"/>
      <c r="AN44" s="17"/>
    </row>
    <row r="45" spans="1:40">
      <c r="A45" s="19">
        <v>8</v>
      </c>
      <c r="B45" s="19">
        <v>4.5806689499877393</v>
      </c>
      <c r="C45" s="889">
        <v>8</v>
      </c>
      <c r="D45" s="19">
        <v>4.5806689499877393</v>
      </c>
      <c r="E45" s="123">
        <v>2.6262196712177228E-5</v>
      </c>
      <c r="F45" s="123">
        <v>7.1500000010245868E-2</v>
      </c>
      <c r="G45" s="123">
        <v>0.7142857142857143</v>
      </c>
      <c r="H45" s="123">
        <v>0.2857142857142857</v>
      </c>
      <c r="I45" s="125"/>
      <c r="J45" s="125"/>
      <c r="K45" s="125">
        <v>0.60013250631745496</v>
      </c>
      <c r="L45" s="125">
        <v>0.99965688434123023</v>
      </c>
      <c r="M45" s="125"/>
      <c r="N45" s="125"/>
      <c r="O45" s="125"/>
      <c r="P45" s="125"/>
      <c r="Q45" s="125">
        <v>0.99999999999315037</v>
      </c>
      <c r="R45" s="125"/>
      <c r="S45" s="125"/>
      <c r="T45" s="125"/>
      <c r="U45" s="125"/>
      <c r="V45" s="125"/>
      <c r="W45" s="17"/>
      <c r="X45" s="17"/>
      <c r="Y45" s="17"/>
      <c r="Z45" s="17"/>
      <c r="AA45" s="17"/>
      <c r="AB45" s="17"/>
      <c r="AC45" s="17"/>
      <c r="AD45" s="17"/>
      <c r="AE45" s="17"/>
      <c r="AF45" s="17"/>
      <c r="AG45" s="17"/>
      <c r="AH45" s="17"/>
      <c r="AI45" s="17"/>
      <c r="AJ45" s="17"/>
      <c r="AK45" s="17"/>
      <c r="AL45" s="17"/>
      <c r="AM45" s="17"/>
      <c r="AN45" s="17"/>
    </row>
    <row r="46" spans="1:40">
      <c r="A46" s="19">
        <v>10</v>
      </c>
      <c r="B46" s="19">
        <v>4.756587051320821</v>
      </c>
      <c r="C46" s="889">
        <v>10</v>
      </c>
      <c r="D46" s="19">
        <v>4.756587051320821</v>
      </c>
      <c r="E46" s="123">
        <v>1.7515113207079535E-5</v>
      </c>
      <c r="F46" s="123">
        <v>6.6733333331724376E-2</v>
      </c>
      <c r="G46" s="123">
        <v>0.66666666666666663</v>
      </c>
      <c r="H46" s="123">
        <v>0.33333333333333331</v>
      </c>
      <c r="I46" s="125"/>
      <c r="J46" s="125"/>
      <c r="K46" s="125">
        <v>0.50023771208224632</v>
      </c>
      <c r="L46" s="125">
        <v>0.99913964865144611</v>
      </c>
      <c r="M46" s="125"/>
      <c r="N46" s="125"/>
      <c r="O46" s="125"/>
      <c r="P46" s="125"/>
      <c r="Q46" s="125">
        <v>0.99999999998972966</v>
      </c>
      <c r="R46" s="125"/>
      <c r="S46" s="125"/>
      <c r="T46" s="125"/>
      <c r="U46" s="125"/>
      <c r="V46" s="125"/>
      <c r="W46" s="17"/>
      <c r="X46" s="17"/>
      <c r="Y46" s="17"/>
      <c r="Z46" s="17"/>
      <c r="AA46" s="17"/>
      <c r="AB46" s="17"/>
      <c r="AC46" s="17"/>
      <c r="AD46" s="17"/>
      <c r="AE46" s="17"/>
      <c r="AF46" s="17"/>
      <c r="AG46" s="17"/>
      <c r="AH46" s="17"/>
      <c r="AI46" s="17"/>
      <c r="AJ46" s="17"/>
      <c r="AK46" s="17"/>
      <c r="AL46" s="17"/>
      <c r="AM46" s="17"/>
      <c r="AN46" s="17"/>
    </row>
    <row r="47" spans="1:40">
      <c r="A47" s="19">
        <v>12</v>
      </c>
      <c r="B47" s="19">
        <v>4.9325233497656882</v>
      </c>
      <c r="C47" s="889">
        <v>12</v>
      </c>
      <c r="D47" s="19">
        <v>4.9325233497656882</v>
      </c>
      <c r="E47" s="123">
        <v>1.1680909259718396E-5</v>
      </c>
      <c r="F47" s="123">
        <v>6.2562499980916828E-2</v>
      </c>
      <c r="G47" s="123">
        <v>0.625</v>
      </c>
      <c r="H47" s="123">
        <v>0.375</v>
      </c>
      <c r="I47" s="125"/>
      <c r="J47" s="125"/>
      <c r="K47" s="125">
        <v>0.40031387901426657</v>
      </c>
      <c r="L47" s="125">
        <v>0.99847986839702274</v>
      </c>
      <c r="M47" s="125"/>
      <c r="N47" s="125"/>
      <c r="O47" s="125"/>
      <c r="P47" s="125"/>
      <c r="Q47" s="125">
        <v>0.99999999998459987</v>
      </c>
      <c r="R47" s="125"/>
      <c r="S47" s="125"/>
      <c r="T47" s="125"/>
      <c r="U47" s="125"/>
      <c r="V47" s="125"/>
      <c r="W47" s="17"/>
      <c r="X47" s="17"/>
      <c r="Y47" s="17"/>
      <c r="Z47" s="17"/>
      <c r="AA47" s="17"/>
      <c r="AB47" s="17"/>
      <c r="AC47" s="17"/>
      <c r="AD47" s="17"/>
      <c r="AE47" s="17"/>
      <c r="AF47" s="17"/>
      <c r="AG47" s="17"/>
      <c r="AH47" s="17"/>
      <c r="AI47" s="17"/>
      <c r="AJ47" s="17"/>
      <c r="AK47" s="17"/>
      <c r="AL47" s="17"/>
      <c r="AM47" s="17"/>
      <c r="AN47" s="17"/>
    </row>
    <row r="48" spans="1:40">
      <c r="A48" s="19">
        <v>13</v>
      </c>
      <c r="B48" s="19">
        <v>5.0251862998120487</v>
      </c>
      <c r="C48" s="889">
        <v>13</v>
      </c>
      <c r="D48" s="19">
        <v>5.0251862998120487</v>
      </c>
      <c r="E48" s="123">
        <v>9.4365598823608279E-6</v>
      </c>
      <c r="F48" s="123">
        <v>6.0666666669311482E-2</v>
      </c>
      <c r="G48" s="123">
        <v>0.60606060606060608</v>
      </c>
      <c r="H48" s="123">
        <v>0.39393939393939392</v>
      </c>
      <c r="I48" s="125"/>
      <c r="J48" s="125"/>
      <c r="K48" s="125">
        <v>0.35034529462329556</v>
      </c>
      <c r="L48" s="125">
        <v>0.99803960179123974</v>
      </c>
      <c r="M48" s="125"/>
      <c r="N48" s="125"/>
      <c r="O48" s="125"/>
      <c r="P48" s="125"/>
      <c r="Q48" s="125">
        <v>0.99999999998093725</v>
      </c>
      <c r="R48" s="125"/>
      <c r="S48" s="125"/>
      <c r="T48" s="125"/>
      <c r="U48" s="125"/>
      <c r="V48" s="125"/>
      <c r="W48" s="17"/>
      <c r="X48" s="17"/>
      <c r="Y48" s="17"/>
      <c r="Z48" s="17"/>
      <c r="AA48" s="17"/>
      <c r="AB48" s="17"/>
      <c r="AC48" s="17"/>
      <c r="AD48" s="17"/>
      <c r="AE48" s="17"/>
      <c r="AF48" s="17"/>
      <c r="AG48" s="17"/>
      <c r="AH48" s="17"/>
      <c r="AI48" s="17"/>
      <c r="AJ48" s="17"/>
      <c r="AK48" s="17"/>
      <c r="AL48" s="17"/>
      <c r="AM48" s="17"/>
      <c r="AN48" s="17"/>
    </row>
    <row r="49" spans="1:40">
      <c r="A49" s="19">
        <v>14</v>
      </c>
      <c r="B49" s="19">
        <v>5.1242044870741665</v>
      </c>
      <c r="C49" s="889">
        <v>14</v>
      </c>
      <c r="D49" s="19">
        <v>5.1242044870741665</v>
      </c>
      <c r="E49" s="123">
        <v>7.5126907651767135E-6</v>
      </c>
      <c r="F49" s="123">
        <v>5.8882352934952836E-2</v>
      </c>
      <c r="G49" s="123">
        <v>0.58823529411764708</v>
      </c>
      <c r="H49" s="123">
        <v>0.41176470588235292</v>
      </c>
      <c r="I49" s="125"/>
      <c r="J49" s="125"/>
      <c r="K49" s="125">
        <v>0.30037357183718771</v>
      </c>
      <c r="L49" s="125">
        <v>0.99747023226013765</v>
      </c>
      <c r="M49" s="125"/>
      <c r="N49" s="125"/>
      <c r="O49" s="125"/>
      <c r="P49" s="125"/>
      <c r="Q49" s="125">
        <v>0.9999999999760556</v>
      </c>
      <c r="R49" s="125"/>
      <c r="S49" s="125"/>
      <c r="T49" s="125"/>
      <c r="U49" s="125"/>
      <c r="V49" s="125"/>
      <c r="W49" s="17"/>
      <c r="X49" s="17"/>
      <c r="Y49" s="17"/>
      <c r="Z49" s="17"/>
      <c r="AA49" s="17"/>
      <c r="AB49" s="17"/>
      <c r="AC49" s="17"/>
      <c r="AD49" s="17"/>
      <c r="AE49" s="17"/>
      <c r="AF49" s="17"/>
      <c r="AG49" s="17"/>
      <c r="AH49" s="17"/>
      <c r="AI49" s="17"/>
      <c r="AJ49" s="17"/>
      <c r="AK49" s="17"/>
      <c r="AL49" s="17"/>
      <c r="AM49" s="17"/>
      <c r="AN49" s="17"/>
    </row>
    <row r="50" spans="1:40">
      <c r="A50" s="19">
        <v>15</v>
      </c>
      <c r="B50" s="19">
        <v>5.2331966585479677</v>
      </c>
      <c r="C50" s="889">
        <v>15</v>
      </c>
      <c r="D50" s="19">
        <v>5.2331966585479677</v>
      </c>
      <c r="E50" s="123">
        <v>5.8452533766643153E-6</v>
      </c>
      <c r="F50" s="123">
        <v>5.72000000015997E-2</v>
      </c>
      <c r="G50" s="123">
        <v>0.5714285714285714</v>
      </c>
      <c r="H50" s="123">
        <v>0.42857142857142855</v>
      </c>
      <c r="I50" s="125"/>
      <c r="J50" s="125"/>
      <c r="K50" s="125">
        <v>0.25039939287866958</v>
      </c>
      <c r="L50" s="125">
        <v>0.99669076910609433</v>
      </c>
      <c r="M50" s="125"/>
      <c r="N50" s="125"/>
      <c r="O50" s="125"/>
      <c r="P50" s="125"/>
      <c r="Q50" s="125">
        <v>0.99999999996922506</v>
      </c>
      <c r="R50" s="125"/>
      <c r="S50" s="125"/>
      <c r="T50" s="125"/>
      <c r="U50" s="125"/>
      <c r="V50" s="125"/>
      <c r="W50" s="17"/>
      <c r="X50" s="17"/>
      <c r="Y50" s="17"/>
      <c r="Z50" s="17"/>
      <c r="AA50" s="17"/>
      <c r="AB50" s="17"/>
      <c r="AC50" s="17"/>
      <c r="AD50" s="17"/>
      <c r="AE50" s="17"/>
      <c r="AF50" s="17"/>
      <c r="AG50" s="17"/>
      <c r="AH50" s="17"/>
      <c r="AI50" s="17"/>
      <c r="AJ50" s="17"/>
      <c r="AK50" s="17"/>
      <c r="AL50" s="17"/>
      <c r="AM50" s="17"/>
      <c r="AN50" s="17"/>
    </row>
    <row r="51" spans="1:40">
      <c r="A51" s="19">
        <v>16</v>
      </c>
      <c r="B51" s="19">
        <v>5.357911869417876</v>
      </c>
      <c r="C51" s="889">
        <v>16</v>
      </c>
      <c r="D51" s="19">
        <v>5.357911869417876</v>
      </c>
      <c r="E51" s="123">
        <v>4.3861969703454432E-6</v>
      </c>
      <c r="F51" s="123">
        <v>5.5611111120401228E-2</v>
      </c>
      <c r="G51" s="123">
        <v>0.55555555555555558</v>
      </c>
      <c r="H51" s="123">
        <v>0.44444444444444442</v>
      </c>
      <c r="I51" s="125"/>
      <c r="J51" s="125"/>
      <c r="K51" s="125">
        <v>0.20042331940066108</v>
      </c>
      <c r="L51" s="125">
        <v>0.99554115221811934</v>
      </c>
      <c r="M51" s="125"/>
      <c r="N51" s="125"/>
      <c r="O51" s="125"/>
      <c r="P51" s="125"/>
      <c r="Q51" s="125">
        <v>0.99999999995898792</v>
      </c>
      <c r="R51" s="125"/>
      <c r="S51" s="125"/>
      <c r="T51" s="125"/>
      <c r="U51" s="125"/>
      <c r="V51" s="125"/>
      <c r="W51" s="17"/>
      <c r="X51" s="17"/>
      <c r="Y51" s="17"/>
      <c r="Z51" s="17"/>
      <c r="AA51" s="17"/>
      <c r="AB51" s="17"/>
      <c r="AC51" s="17"/>
      <c r="AD51" s="17"/>
      <c r="AE51" s="17"/>
      <c r="AF51" s="17"/>
      <c r="AG51" s="17"/>
      <c r="AH51" s="17"/>
      <c r="AI51" s="17"/>
      <c r="AJ51" s="17"/>
      <c r="AK51" s="17"/>
      <c r="AL51" s="17"/>
      <c r="AM51" s="17"/>
      <c r="AN51" s="17"/>
    </row>
    <row r="52" spans="1:40">
      <c r="A52" s="19">
        <v>16.5</v>
      </c>
      <c r="B52" s="19">
        <v>5.4291094332002103</v>
      </c>
      <c r="C52" s="889">
        <v>16.5</v>
      </c>
      <c r="D52" s="19">
        <v>5.4291094332002103</v>
      </c>
      <c r="E52" s="123">
        <v>3.7229788309092037E-6</v>
      </c>
      <c r="F52" s="123">
        <v>5.4849315076457864E-2</v>
      </c>
      <c r="G52" s="123">
        <v>0.54794520547945202</v>
      </c>
      <c r="H52" s="123">
        <v>0.45205479452054792</v>
      </c>
      <c r="I52" s="125"/>
      <c r="J52" s="125"/>
      <c r="K52" s="125">
        <v>0.17543474105494344</v>
      </c>
      <c r="L52" s="125">
        <v>0.994728252428419</v>
      </c>
      <c r="M52" s="125"/>
      <c r="N52" s="125"/>
      <c r="O52" s="125"/>
      <c r="P52" s="125"/>
      <c r="Q52" s="125">
        <v>0.99999999995168198</v>
      </c>
      <c r="R52" s="125"/>
      <c r="S52" s="125"/>
      <c r="T52" s="125"/>
      <c r="U52" s="125"/>
      <c r="V52" s="125"/>
      <c r="W52" s="17"/>
      <c r="X52" s="17"/>
      <c r="Y52" s="17"/>
      <c r="Z52" s="17"/>
      <c r="AA52" s="17"/>
      <c r="AB52" s="17"/>
      <c r="AC52" s="17"/>
      <c r="AD52" s="17"/>
      <c r="AE52" s="17"/>
      <c r="AF52" s="17"/>
      <c r="AG52" s="17"/>
      <c r="AH52" s="17"/>
      <c r="AI52" s="17"/>
      <c r="AJ52" s="17"/>
      <c r="AK52" s="17"/>
      <c r="AL52" s="17"/>
      <c r="AM52" s="17"/>
      <c r="AN52" s="17"/>
    </row>
    <row r="53" spans="1:40">
      <c r="A53" s="19">
        <v>17</v>
      </c>
      <c r="B53" s="19">
        <v>5.508810659404844</v>
      </c>
      <c r="C53" s="889">
        <v>17</v>
      </c>
      <c r="D53" s="19">
        <v>5.508810659404844</v>
      </c>
      <c r="E53" s="123">
        <v>3.0987699842896601E-6</v>
      </c>
      <c r="F53" s="123">
        <v>5.4108108108327897E-2</v>
      </c>
      <c r="G53" s="123">
        <v>0.54054054054054057</v>
      </c>
      <c r="H53" s="123">
        <v>0.45945945945945948</v>
      </c>
      <c r="I53" s="125"/>
      <c r="J53" s="125"/>
      <c r="K53" s="125">
        <v>0.1504459072151117</v>
      </c>
      <c r="L53" s="125">
        <v>0.99365141692549186</v>
      </c>
      <c r="M53" s="125"/>
      <c r="N53" s="125"/>
      <c r="O53" s="125"/>
      <c r="P53" s="125"/>
      <c r="Q53" s="125">
        <v>0.99999999994194888</v>
      </c>
      <c r="R53" s="125"/>
      <c r="S53" s="125"/>
      <c r="T53" s="125"/>
      <c r="U53" s="125"/>
      <c r="V53" s="125"/>
      <c r="W53" s="17"/>
      <c r="X53" s="17"/>
      <c r="Y53" s="17"/>
      <c r="Z53" s="17"/>
      <c r="AA53" s="17"/>
      <c r="AB53" s="17"/>
      <c r="AC53" s="17"/>
      <c r="AD53" s="17"/>
      <c r="AE53" s="17"/>
      <c r="AF53" s="17"/>
      <c r="AG53" s="17"/>
      <c r="AH53" s="17"/>
      <c r="AI53" s="17"/>
      <c r="AJ53" s="17"/>
      <c r="AK53" s="17"/>
      <c r="AL53" s="17"/>
      <c r="AM53" s="17"/>
      <c r="AN53" s="17"/>
    </row>
    <row r="54" spans="1:40">
      <c r="A54" s="19">
        <v>17.5</v>
      </c>
      <c r="B54" s="19">
        <v>5.6002865410409868</v>
      </c>
      <c r="C54" s="889">
        <v>17.5</v>
      </c>
      <c r="D54" s="19">
        <v>5.6002865410409868</v>
      </c>
      <c r="E54" s="123">
        <v>2.5102296728075381E-6</v>
      </c>
      <c r="F54" s="123">
        <v>5.3386666670779313E-2</v>
      </c>
      <c r="G54" s="123">
        <v>0.53333333333333333</v>
      </c>
      <c r="H54" s="123">
        <v>0.46666666666666667</v>
      </c>
      <c r="I54" s="125"/>
      <c r="J54" s="125"/>
      <c r="K54" s="125">
        <v>0.1254569315773594</v>
      </c>
      <c r="L54" s="125">
        <v>0.99215393631582682</v>
      </c>
      <c r="M54" s="125"/>
      <c r="N54" s="125"/>
      <c r="O54" s="125"/>
      <c r="P54" s="125"/>
      <c r="Q54" s="125">
        <v>0.99999999992833843</v>
      </c>
      <c r="R54" s="125"/>
      <c r="S54" s="125"/>
      <c r="T54" s="125"/>
      <c r="U54" s="125"/>
      <c r="V54" s="125"/>
      <c r="W54" s="17"/>
      <c r="X54" s="17"/>
      <c r="Y54" s="17"/>
      <c r="Z54" s="17"/>
      <c r="AA54" s="17"/>
      <c r="AB54" s="17"/>
      <c r="AC54" s="17"/>
      <c r="AD54" s="17"/>
      <c r="AE54" s="17"/>
      <c r="AF54" s="17"/>
      <c r="AG54" s="17"/>
      <c r="AH54" s="17"/>
      <c r="AI54" s="17"/>
      <c r="AJ54" s="17"/>
      <c r="AK54" s="17"/>
      <c r="AL54" s="17"/>
      <c r="AM54" s="17"/>
      <c r="AN54" s="17"/>
    </row>
    <row r="55" spans="1:40">
      <c r="A55" s="19">
        <v>18</v>
      </c>
      <c r="B55" s="19">
        <v>5.7089888504706323</v>
      </c>
      <c r="C55" s="889">
        <v>18</v>
      </c>
      <c r="D55" s="19">
        <v>5.7089888504706323</v>
      </c>
      <c r="E55" s="123">
        <v>1.9543896296683889E-6</v>
      </c>
      <c r="F55" s="123">
        <v>5.2684210534268701E-2</v>
      </c>
      <c r="G55" s="123">
        <v>0.52631578947368418</v>
      </c>
      <c r="H55" s="123">
        <v>0.47368421052631576</v>
      </c>
      <c r="I55" s="125"/>
      <c r="J55" s="125"/>
      <c r="K55" s="125">
        <v>0.1004680022162532</v>
      </c>
      <c r="L55" s="125">
        <v>0.98992501123208043</v>
      </c>
      <c r="M55" s="125"/>
      <c r="N55" s="125"/>
      <c r="O55" s="125"/>
      <c r="P55" s="125"/>
      <c r="Q55" s="125">
        <v>0.9999999999079574</v>
      </c>
      <c r="R55" s="125"/>
      <c r="S55" s="125"/>
      <c r="T55" s="125"/>
      <c r="U55" s="125"/>
      <c r="V55" s="125"/>
      <c r="W55" s="17"/>
      <c r="X55" s="17"/>
      <c r="Y55" s="17"/>
      <c r="Z55" s="17"/>
      <c r="AA55" s="17"/>
      <c r="AB55" s="17"/>
      <c r="AC55" s="17"/>
      <c r="AD55" s="17"/>
      <c r="AE55" s="17"/>
      <c r="AF55" s="17"/>
      <c r="AG55" s="17"/>
      <c r="AH55" s="17"/>
      <c r="AI55" s="17"/>
      <c r="AJ55" s="17"/>
      <c r="AK55" s="17"/>
      <c r="AL55" s="17"/>
      <c r="AM55" s="17"/>
      <c r="AN55" s="17"/>
    </row>
    <row r="56" spans="1:40">
      <c r="A56" s="19">
        <v>18.5</v>
      </c>
      <c r="B56" s="19">
        <v>5.8450874635018408</v>
      </c>
      <c r="C56" s="889">
        <v>18.5</v>
      </c>
      <c r="D56" s="19">
        <v>5.8450874635018408</v>
      </c>
      <c r="E56" s="123">
        <v>1.4286062194519564E-6</v>
      </c>
      <c r="F56" s="123">
        <v>5.1999999994064197E-2</v>
      </c>
      <c r="G56" s="123">
        <v>0.51948051948051943</v>
      </c>
      <c r="H56" s="123">
        <v>0.48051948051948051</v>
      </c>
      <c r="I56" s="125"/>
      <c r="J56" s="125"/>
      <c r="K56" s="125">
        <v>7.5479510754658974E-2</v>
      </c>
      <c r="L56" s="125">
        <v>0.98624851718794393</v>
      </c>
      <c r="M56" s="125"/>
      <c r="N56" s="125"/>
      <c r="O56" s="125"/>
      <c r="P56" s="125"/>
      <c r="Q56" s="125">
        <v>0.99999999987408206</v>
      </c>
      <c r="R56" s="125"/>
      <c r="S56" s="125"/>
      <c r="T56" s="125"/>
      <c r="U56" s="125"/>
      <c r="V56" s="125"/>
      <c r="W56" s="17"/>
      <c r="X56" s="17"/>
      <c r="Y56" s="17"/>
      <c r="Z56" s="17"/>
      <c r="AA56" s="17"/>
      <c r="AB56" s="17"/>
      <c r="AC56" s="17"/>
      <c r="AD56" s="17"/>
      <c r="AE56" s="17"/>
      <c r="AF56" s="17"/>
      <c r="AG56" s="17"/>
      <c r="AH56" s="17"/>
      <c r="AI56" s="17"/>
      <c r="AJ56" s="17"/>
      <c r="AK56" s="17"/>
      <c r="AL56" s="17"/>
      <c r="AM56" s="17"/>
      <c r="AN56" s="17"/>
    </row>
    <row r="57" spans="1:40">
      <c r="A57" s="19">
        <v>19</v>
      </c>
      <c r="B57" s="19">
        <v>6.0312710306607187</v>
      </c>
      <c r="C57" s="889">
        <v>19</v>
      </c>
      <c r="D57" s="19">
        <v>6.0312710306607187</v>
      </c>
      <c r="E57" s="123">
        <v>9.3052697917589026E-7</v>
      </c>
      <c r="F57" s="123">
        <v>5.1333333334999266E-2</v>
      </c>
      <c r="G57" s="123">
        <v>0.51282051282051277</v>
      </c>
      <c r="H57" s="123">
        <v>0.48717948717948717</v>
      </c>
      <c r="I57" s="125"/>
      <c r="J57" s="125"/>
      <c r="K57" s="125">
        <v>5.0492554662420003E-2</v>
      </c>
      <c r="L57" s="125">
        <v>0.97902257773817947</v>
      </c>
      <c r="M57" s="125"/>
      <c r="N57" s="125"/>
      <c r="O57" s="125"/>
      <c r="P57" s="125"/>
      <c r="Q57" s="125">
        <v>0.99999999980668253</v>
      </c>
      <c r="R57" s="125"/>
      <c r="S57" s="125"/>
      <c r="T57" s="125"/>
      <c r="U57" s="125"/>
      <c r="V57" s="125"/>
      <c r="W57" s="17"/>
      <c r="X57" s="17"/>
      <c r="Y57" s="17"/>
      <c r="Z57" s="17"/>
      <c r="AA57" s="17"/>
      <c r="AB57" s="17"/>
      <c r="AC57" s="17"/>
      <c r="AD57" s="17"/>
      <c r="AE57" s="17"/>
      <c r="AF57" s="17"/>
      <c r="AG57" s="17"/>
      <c r="AH57" s="17"/>
      <c r="AI57" s="17"/>
      <c r="AJ57" s="17"/>
      <c r="AK57" s="17"/>
      <c r="AL57" s="17"/>
      <c r="AM57" s="17"/>
      <c r="AN57" s="17"/>
    </row>
    <row r="58" spans="1:40">
      <c r="A58" s="19">
        <v>19.5</v>
      </c>
      <c r="B58" s="19">
        <v>6.3390276008285582</v>
      </c>
      <c r="C58" s="889">
        <v>19.5</v>
      </c>
      <c r="D58" s="19">
        <v>6.3390276008285582</v>
      </c>
      <c r="E58" s="123">
        <v>4.5811277123094471E-7</v>
      </c>
      <c r="F58" s="123">
        <v>5.0683544302003461E-2</v>
      </c>
      <c r="G58" s="123">
        <v>0.50632911392405067</v>
      </c>
      <c r="H58" s="123">
        <v>0.49367088607594939</v>
      </c>
      <c r="I58" s="125"/>
      <c r="J58" s="125"/>
      <c r="K58" s="125">
        <v>2.5512251190972689E-2</v>
      </c>
      <c r="L58" s="125">
        <v>0.95827106827994435</v>
      </c>
      <c r="M58" s="125"/>
      <c r="N58" s="125"/>
      <c r="O58" s="125"/>
      <c r="P58" s="125"/>
      <c r="Q58" s="125">
        <v>0.9999999996073301</v>
      </c>
      <c r="R58" s="125"/>
      <c r="S58" s="125"/>
      <c r="T58" s="125"/>
      <c r="U58" s="125"/>
      <c r="V58" s="125"/>
      <c r="W58" s="17"/>
      <c r="X58" s="17"/>
      <c r="Y58" s="17"/>
      <c r="Z58" s="17"/>
      <c r="AA58" s="17"/>
      <c r="AB58" s="17"/>
      <c r="AC58" s="17"/>
      <c r="AD58" s="17"/>
      <c r="AE58" s="17"/>
      <c r="AF58" s="17"/>
      <c r="AG58" s="17"/>
      <c r="AH58" s="17"/>
      <c r="AI58" s="17"/>
      <c r="AJ58" s="17"/>
      <c r="AK58" s="17"/>
      <c r="AL58" s="17"/>
      <c r="AM58" s="17"/>
      <c r="AN58" s="17"/>
    </row>
    <row r="59" spans="1:40">
      <c r="A59" s="19">
        <v>19.7</v>
      </c>
      <c r="B59" s="19">
        <v>6.5590608413331211</v>
      </c>
      <c r="C59" s="889">
        <v>19.7</v>
      </c>
      <c r="D59" s="19">
        <v>6.5590608413331211</v>
      </c>
      <c r="E59" s="123">
        <v>2.7601911474783683E-7</v>
      </c>
      <c r="F59" s="123">
        <v>5.0428211587032333E-2</v>
      </c>
      <c r="G59" s="123">
        <v>0.50377833753148615</v>
      </c>
      <c r="H59" s="123">
        <v>0.49622166246851379</v>
      </c>
      <c r="I59" s="125"/>
      <c r="J59" s="125"/>
      <c r="K59" s="125">
        <v>1.5528950599401495E-2</v>
      </c>
      <c r="L59" s="125">
        <v>0.93259040744713784</v>
      </c>
      <c r="M59" s="125"/>
      <c r="N59" s="125"/>
      <c r="O59" s="125"/>
      <c r="P59" s="125"/>
      <c r="Q59" s="125">
        <v>0.99999999934828032</v>
      </c>
      <c r="R59" s="125"/>
      <c r="S59" s="125"/>
      <c r="T59" s="125"/>
      <c r="U59" s="125"/>
      <c r="V59" s="125"/>
      <c r="W59" s="17"/>
      <c r="X59" s="17"/>
      <c r="Y59" s="17"/>
      <c r="Z59" s="17"/>
      <c r="AA59" s="17"/>
      <c r="AB59" s="17"/>
      <c r="AC59" s="17"/>
      <c r="AD59" s="17"/>
      <c r="AE59" s="17"/>
      <c r="AF59" s="17"/>
      <c r="AG59" s="17"/>
      <c r="AH59" s="17"/>
      <c r="AI59" s="17"/>
      <c r="AJ59" s="17"/>
      <c r="AK59" s="17"/>
      <c r="AL59" s="17"/>
      <c r="AM59" s="17"/>
      <c r="AN59" s="17"/>
    </row>
    <row r="60" spans="1:40">
      <c r="A60" s="19">
        <v>19.8</v>
      </c>
      <c r="B60" s="19">
        <v>6.729320949409157</v>
      </c>
      <c r="C60" s="889">
        <v>19.8</v>
      </c>
      <c r="D60" s="19">
        <v>6.729320949409157</v>
      </c>
      <c r="E60" s="123">
        <v>1.8650009209008174E-7</v>
      </c>
      <c r="F60" s="123">
        <v>5.0301507537237937E-2</v>
      </c>
      <c r="G60" s="123">
        <v>0.50251256281407042</v>
      </c>
      <c r="H60" s="123">
        <v>0.49748743718592969</v>
      </c>
      <c r="I60" s="125"/>
      <c r="J60" s="125"/>
      <c r="K60" s="125">
        <v>1.0545685051076175E-2</v>
      </c>
      <c r="L60" s="125">
        <v>0.90335792576678775</v>
      </c>
      <c r="M60" s="125"/>
      <c r="N60" s="125"/>
      <c r="O60" s="125"/>
      <c r="P60" s="125"/>
      <c r="Q60" s="125">
        <v>0.99999999903545844</v>
      </c>
      <c r="R60" s="125"/>
      <c r="S60" s="125"/>
      <c r="T60" s="125"/>
      <c r="U60" s="125"/>
      <c r="V60" s="125"/>
      <c r="W60" s="17"/>
      <c r="X60" s="17"/>
      <c r="Y60" s="17"/>
      <c r="Z60" s="17"/>
      <c r="AA60" s="17"/>
      <c r="AB60" s="17"/>
      <c r="AC60" s="17"/>
      <c r="AD60" s="17"/>
      <c r="AE60" s="17"/>
      <c r="AF60" s="17"/>
      <c r="AG60" s="17"/>
      <c r="AH60" s="17"/>
      <c r="AI60" s="17"/>
      <c r="AJ60" s="17"/>
      <c r="AK60" s="17"/>
      <c r="AL60" s="17"/>
      <c r="AM60" s="17"/>
      <c r="AN60" s="17"/>
    </row>
    <row r="61" spans="1:40">
      <c r="A61" s="19">
        <v>19.900000000000002</v>
      </c>
      <c r="B61" s="19">
        <v>7.0075858007185161</v>
      </c>
      <c r="C61" s="889">
        <v>19.900000000000002</v>
      </c>
      <c r="D61" s="19">
        <v>7.0075858007185161</v>
      </c>
      <c r="E61" s="123">
        <v>9.8268471123388591E-8</v>
      </c>
      <c r="F61" s="123">
        <v>5.0175438596577096E-2</v>
      </c>
      <c r="G61" s="123">
        <v>0.50125313283208017</v>
      </c>
      <c r="H61" s="123">
        <v>0.49874686716791977</v>
      </c>
      <c r="I61" s="125"/>
      <c r="J61" s="125"/>
      <c r="K61" s="125">
        <v>5.5844717348101048E-3</v>
      </c>
      <c r="L61" s="125">
        <v>0.83122771468133938</v>
      </c>
      <c r="M61" s="125"/>
      <c r="N61" s="125"/>
      <c r="O61" s="125"/>
      <c r="P61" s="125"/>
      <c r="Q61" s="125">
        <v>0.9999999981694323</v>
      </c>
      <c r="R61" s="125"/>
      <c r="S61" s="125"/>
      <c r="T61" s="125"/>
      <c r="U61" s="125"/>
      <c r="V61" s="125"/>
      <c r="W61" s="17"/>
      <c r="X61" s="17"/>
      <c r="Y61" s="17"/>
      <c r="Z61" s="17"/>
      <c r="AA61" s="17"/>
      <c r="AB61" s="17"/>
      <c r="AC61" s="17"/>
      <c r="AD61" s="17"/>
      <c r="AE61" s="17"/>
      <c r="AF61" s="17"/>
      <c r="AG61" s="17"/>
      <c r="AH61" s="17"/>
      <c r="AI61" s="17"/>
      <c r="AJ61" s="17"/>
      <c r="AK61" s="17"/>
      <c r="AL61" s="17"/>
      <c r="AM61" s="17"/>
      <c r="AN61" s="17"/>
    </row>
    <row r="62" spans="1:40">
      <c r="A62" s="19">
        <v>19.950000000000003</v>
      </c>
      <c r="B62" s="19">
        <v>7.2593171945773065</v>
      </c>
      <c r="C62" s="889">
        <v>19.950000000000003</v>
      </c>
      <c r="D62" s="19">
        <v>7.2593171945773065</v>
      </c>
      <c r="E62" s="123">
        <v>5.5040555123704652E-8</v>
      </c>
      <c r="F62" s="123">
        <v>5.0112640801244064E-2</v>
      </c>
      <c r="G62" s="123">
        <v>0.50062578222778464</v>
      </c>
      <c r="H62" s="123">
        <v>0.4993742177722153</v>
      </c>
      <c r="I62" s="125"/>
      <c r="J62" s="125"/>
      <c r="K62" s="125">
        <v>3.1355873101927977E-3</v>
      </c>
      <c r="L62" s="125">
        <v>0.73394163569063808</v>
      </c>
      <c r="M62" s="125"/>
      <c r="N62" s="125"/>
      <c r="O62" s="125"/>
      <c r="P62" s="125"/>
      <c r="Q62" s="125">
        <v>0.99999999673173556</v>
      </c>
      <c r="R62" s="125"/>
      <c r="S62" s="125"/>
      <c r="T62" s="125"/>
      <c r="U62" s="125"/>
      <c r="V62" s="125"/>
      <c r="W62" s="17"/>
      <c r="X62" s="17"/>
      <c r="Y62" s="17"/>
      <c r="Z62" s="17"/>
      <c r="AA62" s="17"/>
      <c r="AB62" s="17"/>
      <c r="AC62" s="17"/>
      <c r="AD62" s="17"/>
      <c r="AE62" s="17"/>
      <c r="AF62" s="17"/>
      <c r="AG62" s="17"/>
      <c r="AH62" s="17"/>
      <c r="AI62" s="17"/>
      <c r="AJ62" s="17"/>
      <c r="AK62" s="17"/>
      <c r="AL62" s="17"/>
      <c r="AM62" s="17"/>
      <c r="AN62" s="17"/>
    </row>
    <row r="63" spans="1:40">
      <c r="A63" s="19">
        <v>19.970000000000002</v>
      </c>
      <c r="B63" s="19">
        <v>7.4183593583293259</v>
      </c>
      <c r="C63" s="889">
        <v>19.970000000000002</v>
      </c>
      <c r="D63" s="19">
        <v>7.4183593583293259</v>
      </c>
      <c r="E63" s="123">
        <v>3.8162836057532731E-8</v>
      </c>
      <c r="F63" s="123">
        <v>5.0087565674162345E-2</v>
      </c>
      <c r="G63" s="123">
        <v>0.50037528146109589</v>
      </c>
      <c r="H63" s="123">
        <v>0.49962471853890428</v>
      </c>
      <c r="I63" s="125"/>
      <c r="J63" s="125"/>
      <c r="K63" s="125">
        <v>2.1761784687832552E-3</v>
      </c>
      <c r="L63" s="125">
        <v>0.65667324273625094</v>
      </c>
      <c r="M63" s="125"/>
      <c r="N63" s="125"/>
      <c r="O63" s="125"/>
      <c r="P63" s="125"/>
      <c r="Q63" s="125">
        <v>0.99999999528632799</v>
      </c>
      <c r="R63" s="125"/>
      <c r="S63" s="125"/>
      <c r="T63" s="125"/>
      <c r="U63" s="125"/>
      <c r="V63" s="125"/>
      <c r="W63" s="17"/>
      <c r="X63" s="17"/>
      <c r="Y63" s="17"/>
      <c r="Z63" s="17"/>
      <c r="AA63" s="17"/>
      <c r="AB63" s="17"/>
      <c r="AC63" s="17"/>
      <c r="AD63" s="17"/>
      <c r="AE63" s="17"/>
      <c r="AF63" s="17"/>
      <c r="AG63" s="17"/>
      <c r="AH63" s="17"/>
      <c r="AI63" s="17"/>
      <c r="AJ63" s="17"/>
      <c r="AK63" s="17"/>
      <c r="AL63" s="17"/>
      <c r="AM63" s="17"/>
      <c r="AN63" s="17"/>
    </row>
    <row r="64" spans="1:40">
      <c r="A64" s="19">
        <v>19.980000000000004</v>
      </c>
      <c r="B64" s="19">
        <v>7.524222097825259</v>
      </c>
      <c r="C64" s="889">
        <v>19.980000000000004</v>
      </c>
      <c r="D64" s="19">
        <v>7.524222097825259</v>
      </c>
      <c r="E64" s="123">
        <v>2.9907347862569245E-8</v>
      </c>
      <c r="F64" s="123">
        <v>5.0075037518871948E-2</v>
      </c>
      <c r="G64" s="123">
        <v>0.50025012506253119</v>
      </c>
      <c r="H64" s="123">
        <v>0.49974987493746881</v>
      </c>
      <c r="I64" s="125"/>
      <c r="J64" s="125"/>
      <c r="K64" s="125">
        <v>1.7062248611958595E-3</v>
      </c>
      <c r="L64" s="125">
        <v>0.5998272184513388</v>
      </c>
      <c r="M64" s="125"/>
      <c r="N64" s="125"/>
      <c r="O64" s="125"/>
      <c r="P64" s="125"/>
      <c r="Q64" s="125">
        <v>0.99999999398518746</v>
      </c>
      <c r="R64" s="125"/>
      <c r="S64" s="125"/>
      <c r="T64" s="125"/>
      <c r="U64" s="125"/>
      <c r="V64" s="125"/>
      <c r="W64" s="17"/>
      <c r="X64" s="17"/>
      <c r="Y64" s="17"/>
      <c r="Z64" s="17"/>
      <c r="AA64" s="17"/>
      <c r="AB64" s="17"/>
      <c r="AC64" s="17"/>
      <c r="AD64" s="17"/>
      <c r="AE64" s="17"/>
      <c r="AF64" s="17"/>
      <c r="AG64" s="17"/>
      <c r="AH64" s="17"/>
      <c r="AI64" s="17"/>
      <c r="AJ64" s="17"/>
      <c r="AK64" s="17"/>
      <c r="AL64" s="17"/>
      <c r="AM64" s="17"/>
      <c r="AN64" s="17"/>
    </row>
    <row r="65" spans="1:40">
      <c r="A65" s="19">
        <v>19.990000000000006</v>
      </c>
      <c r="B65" s="19">
        <v>7.6604494755156338</v>
      </c>
      <c r="C65" s="889">
        <v>19.990000000000006</v>
      </c>
      <c r="D65" s="19">
        <v>7.6604494755156338</v>
      </c>
      <c r="E65" s="123">
        <v>2.1854985590452048E-8</v>
      </c>
      <c r="F65" s="123">
        <v>5.0062515628844777E-2</v>
      </c>
      <c r="G65" s="123">
        <v>0.50012503125781438</v>
      </c>
      <c r="H65" s="123">
        <v>0.49987496874218557</v>
      </c>
      <c r="I65" s="125"/>
      <c r="J65" s="125"/>
      <c r="K65" s="125">
        <v>1.2474077660741239E-3</v>
      </c>
      <c r="L65" s="125">
        <v>0.52275165743186436</v>
      </c>
      <c r="M65" s="125"/>
      <c r="N65" s="125"/>
      <c r="O65" s="125"/>
      <c r="P65" s="125"/>
      <c r="Q65" s="125">
        <v>0.99999999176905929</v>
      </c>
      <c r="R65" s="125"/>
      <c r="S65" s="125"/>
      <c r="T65" s="125"/>
      <c r="U65" s="125"/>
      <c r="V65" s="125"/>
      <c r="W65" s="17"/>
      <c r="X65" s="17"/>
      <c r="Y65" s="17"/>
      <c r="Z65" s="17"/>
      <c r="AA65" s="17"/>
      <c r="AB65" s="17"/>
      <c r="AC65" s="17"/>
      <c r="AD65" s="17"/>
      <c r="AE65" s="17"/>
      <c r="AF65" s="17"/>
      <c r="AG65" s="17"/>
      <c r="AH65" s="17"/>
      <c r="AI65" s="17"/>
      <c r="AJ65" s="17"/>
      <c r="AK65" s="17"/>
      <c r="AL65" s="17"/>
      <c r="AM65" s="17"/>
      <c r="AN65" s="17"/>
    </row>
    <row r="66" spans="1:40">
      <c r="A66" s="19">
        <v>20.000000000000007</v>
      </c>
      <c r="B66" s="19">
        <v>7.8499296265654266</v>
      </c>
      <c r="C66" s="889">
        <v>20.000000000000007</v>
      </c>
      <c r="D66" s="19">
        <v>7.8499296265654266</v>
      </c>
      <c r="E66" s="123">
        <v>1.4127664519123931E-8</v>
      </c>
      <c r="F66" s="123">
        <v>5.0050000000012106E-2</v>
      </c>
      <c r="G66" s="123">
        <v>0.49999999999999989</v>
      </c>
      <c r="H66" s="123">
        <v>0.50000000000000011</v>
      </c>
      <c r="I66" s="125"/>
      <c r="J66" s="125"/>
      <c r="K66" s="125">
        <v>8.0671453297832742E-4</v>
      </c>
      <c r="L66" s="125">
        <v>0.41454079497715701</v>
      </c>
      <c r="M66" s="125"/>
      <c r="N66" s="125"/>
      <c r="O66" s="125"/>
      <c r="P66" s="125"/>
      <c r="Q66" s="125">
        <v>0.99999998726703276</v>
      </c>
      <c r="R66" s="125"/>
      <c r="S66" s="125"/>
      <c r="T66" s="125"/>
      <c r="U66" s="125"/>
      <c r="V66" s="125"/>
      <c r="W66" s="17"/>
      <c r="X66" s="17"/>
      <c r="Y66" s="17"/>
      <c r="Z66" s="17"/>
      <c r="AA66" s="17"/>
      <c r="AB66" s="17"/>
      <c r="AC66" s="17"/>
      <c r="AD66" s="17"/>
      <c r="AE66" s="17"/>
      <c r="AF66" s="17"/>
      <c r="AG66" s="17"/>
      <c r="AH66" s="17"/>
      <c r="AI66" s="17"/>
      <c r="AJ66" s="17"/>
      <c r="AK66" s="17"/>
      <c r="AL66" s="17"/>
      <c r="AM66" s="17"/>
      <c r="AN66" s="17"/>
    </row>
    <row r="67" spans="1:40">
      <c r="A67" s="19">
        <v>20.010000000000009</v>
      </c>
      <c r="B67" s="19">
        <v>8.1557883764617145</v>
      </c>
      <c r="C67" s="889">
        <v>20.010000000000009</v>
      </c>
      <c r="D67" s="19">
        <v>8.1557883764617145</v>
      </c>
      <c r="E67" s="123">
        <v>6.9857272251276364E-9</v>
      </c>
      <c r="F67" s="123">
        <v>5.0037490627351786E-2</v>
      </c>
      <c r="G67" s="123">
        <v>0.4998750312421894</v>
      </c>
      <c r="H67" s="123">
        <v>0.50012496875781065</v>
      </c>
      <c r="I67" s="125"/>
      <c r="J67" s="125"/>
      <c r="K67" s="125">
        <v>3.9906007498708736E-4</v>
      </c>
      <c r="L67" s="125">
        <v>0.25932280484053238</v>
      </c>
      <c r="M67" s="125"/>
      <c r="N67" s="125"/>
      <c r="O67" s="125"/>
      <c r="P67" s="125"/>
      <c r="Q67" s="125">
        <v>0.99999997424933995</v>
      </c>
      <c r="R67" s="125"/>
      <c r="S67" s="125"/>
      <c r="T67" s="125"/>
      <c r="U67" s="125"/>
      <c r="V67" s="125"/>
      <c r="W67" s="17"/>
      <c r="X67" s="17"/>
      <c r="Y67" s="17"/>
      <c r="Z67" s="17"/>
      <c r="AA67" s="17"/>
      <c r="AB67" s="17"/>
      <c r="AC67" s="17"/>
      <c r="AD67" s="17"/>
      <c r="AE67" s="17"/>
      <c r="AF67" s="17"/>
      <c r="AG67" s="17"/>
      <c r="AH67" s="17"/>
      <c r="AI67" s="17"/>
      <c r="AJ67" s="17"/>
      <c r="AK67" s="17"/>
      <c r="AL67" s="17"/>
      <c r="AM67" s="17"/>
      <c r="AN67" s="17"/>
    </row>
    <row r="68" spans="1:40">
      <c r="A68" s="19">
        <v>20.02000000000001</v>
      </c>
      <c r="B68" s="19">
        <v>8.8002537922002375</v>
      </c>
      <c r="C68" s="889">
        <v>20.02000000000001</v>
      </c>
      <c r="D68" s="19">
        <v>8.8002537922002375</v>
      </c>
      <c r="E68" s="123">
        <v>1.5839672860960506E-9</v>
      </c>
      <c r="F68" s="123">
        <v>5.0024987506237809E-2</v>
      </c>
      <c r="G68" s="123">
        <v>0.49975012493753113</v>
      </c>
      <c r="H68" s="123">
        <v>0.50024987506246887</v>
      </c>
      <c r="I68" s="125"/>
      <c r="J68" s="125"/>
      <c r="K68" s="125">
        <v>9.0512153230576858E-5</v>
      </c>
      <c r="L68" s="125">
        <v>7.3547731050991369E-2</v>
      </c>
      <c r="M68" s="125"/>
      <c r="N68" s="125"/>
      <c r="O68" s="125"/>
      <c r="P68" s="125"/>
      <c r="Q68" s="125">
        <v>0.99999988643258431</v>
      </c>
      <c r="R68" s="125"/>
      <c r="S68" s="125"/>
      <c r="T68" s="125"/>
      <c r="U68" s="125"/>
      <c r="V68" s="125"/>
      <c r="W68" s="17"/>
      <c r="X68" s="17"/>
      <c r="Y68" s="17"/>
      <c r="Z68" s="17"/>
      <c r="AA68" s="17"/>
      <c r="AB68" s="17"/>
      <c r="AC68" s="17"/>
      <c r="AD68" s="17"/>
      <c r="AE68" s="17"/>
      <c r="AF68" s="17"/>
      <c r="AG68" s="17"/>
      <c r="AH68" s="17"/>
      <c r="AI68" s="17"/>
      <c r="AJ68" s="17"/>
      <c r="AK68" s="17"/>
      <c r="AL68" s="17"/>
      <c r="AM68" s="17"/>
      <c r="AN68" s="17"/>
    </row>
    <row r="69" spans="1:40">
      <c r="A69" s="19">
        <v>20.030000000000012</v>
      </c>
      <c r="B69" s="19">
        <v>9.420395974535495</v>
      </c>
      <c r="C69" s="889">
        <v>20.030000000000012</v>
      </c>
      <c r="D69" s="19">
        <v>9.420395974535495</v>
      </c>
      <c r="E69" s="123">
        <v>3.7984291089246862E-10</v>
      </c>
      <c r="F69" s="123">
        <v>5.0012490631989065E-2</v>
      </c>
      <c r="G69" s="123">
        <v>0.49962528103922038</v>
      </c>
      <c r="H69" s="123">
        <v>0.50037471896077956</v>
      </c>
      <c r="I69" s="125"/>
      <c r="J69" s="125"/>
      <c r="K69" s="125">
        <v>2.1706739670579962E-5</v>
      </c>
      <c r="L69" s="125">
        <v>1.868159592111035E-2</v>
      </c>
      <c r="M69" s="125"/>
      <c r="N69" s="125"/>
      <c r="O69" s="125"/>
      <c r="P69" s="125"/>
      <c r="Q69" s="125">
        <v>0.99999952641736534</v>
      </c>
      <c r="R69" s="125"/>
      <c r="S69" s="125"/>
      <c r="T69" s="125"/>
      <c r="U69" s="125"/>
      <c r="V69" s="125"/>
      <c r="W69" s="17"/>
      <c r="X69" s="17"/>
      <c r="Y69" s="17"/>
      <c r="Z69" s="17"/>
      <c r="AA69" s="17"/>
      <c r="AB69" s="17"/>
      <c r="AC69" s="17"/>
      <c r="AD69" s="17"/>
      <c r="AE69" s="17"/>
      <c r="AF69" s="17"/>
      <c r="AG69" s="17"/>
      <c r="AH69" s="17"/>
      <c r="AI69" s="17"/>
      <c r="AJ69" s="17"/>
      <c r="AK69" s="17"/>
      <c r="AL69" s="17"/>
      <c r="AM69" s="17"/>
      <c r="AN69" s="17"/>
    </row>
    <row r="70" spans="1:40">
      <c r="A70" s="19">
        <v>20.040000000000013</v>
      </c>
      <c r="B70" s="19">
        <v>9.7021594396792352</v>
      </c>
      <c r="C70" s="889">
        <v>20.040000000000013</v>
      </c>
      <c r="D70" s="19">
        <v>9.7021594396792352</v>
      </c>
      <c r="E70" s="123">
        <v>1.9853659092078828E-10</v>
      </c>
      <c r="F70" s="123">
        <v>5.0000000000021971E-2</v>
      </c>
      <c r="G70" s="123">
        <v>0.49950049950049935</v>
      </c>
      <c r="H70" s="123">
        <v>0.50049950049950065</v>
      </c>
      <c r="I70" s="125"/>
      <c r="J70" s="125"/>
      <c r="K70" s="125">
        <v>1.1345813314114336E-5</v>
      </c>
      <c r="L70" s="125">
        <v>9.8523655675628093E-3</v>
      </c>
      <c r="M70" s="125"/>
      <c r="N70" s="125"/>
      <c r="O70" s="125"/>
      <c r="P70" s="125"/>
      <c r="Q70" s="125">
        <v>0.99999909393564435</v>
      </c>
      <c r="R70" s="125"/>
      <c r="S70" s="125"/>
      <c r="T70" s="125"/>
      <c r="U70" s="125"/>
      <c r="V70" s="125"/>
      <c r="W70" s="17"/>
      <c r="X70" s="17"/>
      <c r="Y70" s="17"/>
      <c r="Z70" s="17"/>
      <c r="AA70" s="17"/>
      <c r="AB70" s="17"/>
      <c r="AC70" s="17"/>
      <c r="AD70" s="17"/>
      <c r="AE70" s="17"/>
      <c r="AF70" s="17"/>
      <c r="AG70" s="17"/>
      <c r="AH70" s="17"/>
      <c r="AI70" s="17"/>
      <c r="AJ70" s="17"/>
      <c r="AK70" s="17"/>
      <c r="AL70" s="17"/>
      <c r="AM70" s="17"/>
      <c r="AN70" s="17"/>
    </row>
    <row r="71" spans="1:40">
      <c r="A71" s="19">
        <v>20.060000000000013</v>
      </c>
      <c r="B71" s="19">
        <v>9.9977490934543312</v>
      </c>
      <c r="C71" s="889">
        <v>20.060000000000013</v>
      </c>
      <c r="D71" s="19">
        <v>9.9977490934543312</v>
      </c>
      <c r="E71" s="123">
        <v>1.0051963583383628E-10</v>
      </c>
      <c r="F71" s="123">
        <v>4.9975037443854273E-2</v>
      </c>
      <c r="G71" s="123">
        <v>0.49925112331502725</v>
      </c>
      <c r="H71" s="123">
        <v>0.5007488766849727</v>
      </c>
      <c r="I71" s="125"/>
      <c r="J71" s="125"/>
      <c r="K71" s="125">
        <v>5.7444494517776452E-6</v>
      </c>
      <c r="L71" s="125">
        <v>5.0126624706988403E-3</v>
      </c>
      <c r="M71" s="125"/>
      <c r="N71" s="125"/>
      <c r="O71" s="125"/>
      <c r="P71" s="125"/>
      <c r="Q71" s="125">
        <v>0.99999821043154502</v>
      </c>
      <c r="R71" s="125"/>
      <c r="S71" s="125"/>
      <c r="T71" s="125"/>
      <c r="U71" s="125"/>
      <c r="V71" s="125"/>
      <c r="W71" s="17"/>
      <c r="X71" s="17"/>
      <c r="Y71" s="17"/>
      <c r="Z71" s="17"/>
      <c r="AA71" s="17"/>
      <c r="AB71" s="17"/>
      <c r="AC71" s="17"/>
      <c r="AD71" s="17"/>
      <c r="AE71" s="17"/>
      <c r="AF71" s="17"/>
      <c r="AG71" s="17"/>
      <c r="AH71" s="17"/>
      <c r="AI71" s="17"/>
      <c r="AJ71" s="17"/>
      <c r="AK71" s="17"/>
      <c r="AL71" s="17"/>
      <c r="AM71" s="17"/>
      <c r="AN71" s="17"/>
    </row>
    <row r="72" spans="1:40">
      <c r="A72" s="19">
        <v>20.110000000000014</v>
      </c>
      <c r="B72" s="19">
        <v>10.347956786397845</v>
      </c>
      <c r="C72" s="889">
        <v>20.110000000000014</v>
      </c>
      <c r="D72" s="19">
        <v>10.347956786397845</v>
      </c>
      <c r="E72" s="123">
        <v>4.4879004366548672E-11</v>
      </c>
      <c r="F72" s="123">
        <v>4.9912739965046103E-2</v>
      </c>
      <c r="G72" s="123">
        <v>0.49862877088007962</v>
      </c>
      <c r="H72" s="123">
        <v>0.50137122911992038</v>
      </c>
      <c r="I72" s="125"/>
      <c r="J72" s="125"/>
      <c r="K72" s="125">
        <v>2.5647326424382271E-6</v>
      </c>
      <c r="L72" s="125">
        <v>2.2442305062188497E-3</v>
      </c>
      <c r="M72" s="125"/>
      <c r="N72" s="125"/>
      <c r="O72" s="125"/>
      <c r="P72" s="125"/>
      <c r="Q72" s="125">
        <v>0.99999599174774012</v>
      </c>
      <c r="R72" s="125"/>
      <c r="S72" s="125"/>
      <c r="T72" s="125"/>
      <c r="U72" s="125"/>
      <c r="V72" s="125"/>
      <c r="W72" s="17"/>
      <c r="X72" s="17"/>
      <c r="Y72" s="17"/>
      <c r="Z72" s="17"/>
      <c r="AA72" s="17"/>
      <c r="AB72" s="17"/>
      <c r="AC72" s="17"/>
      <c r="AD72" s="17"/>
      <c r="AE72" s="17"/>
      <c r="AF72" s="17"/>
      <c r="AG72" s="17"/>
      <c r="AH72" s="17"/>
      <c r="AI72" s="17"/>
      <c r="AJ72" s="17"/>
      <c r="AK72" s="17"/>
      <c r="AL72" s="17"/>
      <c r="AM72" s="17"/>
      <c r="AN72" s="17"/>
    </row>
    <row r="73" spans="1:40">
      <c r="A73" s="19">
        <v>20.210000000000015</v>
      </c>
      <c r="B73" s="19">
        <v>10.671109877061099</v>
      </c>
      <c r="C73" s="889">
        <v>20.210000000000015</v>
      </c>
      <c r="D73" s="19">
        <v>10.671109877061099</v>
      </c>
      <c r="E73" s="123">
        <v>2.1325053183089358E-11</v>
      </c>
      <c r="F73" s="123">
        <v>4.9788609799468239E-2</v>
      </c>
      <c r="G73" s="123">
        <v>0.49738870927629925</v>
      </c>
      <c r="H73" s="123">
        <v>0.50261129072370081</v>
      </c>
      <c r="I73" s="125"/>
      <c r="J73" s="125"/>
      <c r="K73" s="125">
        <v>1.218679748127259E-6</v>
      </c>
      <c r="L73" s="125">
        <v>1.0676433624310303E-3</v>
      </c>
      <c r="M73" s="125"/>
      <c r="N73" s="125"/>
      <c r="O73" s="125"/>
      <c r="P73" s="125"/>
      <c r="Q73" s="125">
        <v>0.99999156458967042</v>
      </c>
      <c r="R73" s="125"/>
      <c r="S73" s="125"/>
      <c r="T73" s="125"/>
      <c r="U73" s="125"/>
      <c r="V73" s="125"/>
      <c r="W73" s="17"/>
      <c r="X73" s="17"/>
      <c r="Y73" s="17"/>
      <c r="Z73" s="17"/>
      <c r="AA73" s="17"/>
      <c r="AB73" s="17"/>
      <c r="AC73" s="17"/>
      <c r="AD73" s="17"/>
      <c r="AE73" s="17"/>
      <c r="AF73" s="17"/>
      <c r="AG73" s="17"/>
      <c r="AH73" s="17"/>
      <c r="AI73" s="17"/>
      <c r="AJ73" s="17"/>
      <c r="AK73" s="17"/>
      <c r="AL73" s="17"/>
      <c r="AM73" s="17"/>
      <c r="AN73" s="17"/>
    </row>
    <row r="74" spans="1:40">
      <c r="A74" s="19">
        <v>20.410000000000014</v>
      </c>
      <c r="B74" s="19">
        <v>10.981203193310648</v>
      </c>
      <c r="C74" s="889">
        <v>20.410000000000014</v>
      </c>
      <c r="D74" s="19">
        <v>10.981203193310648</v>
      </c>
      <c r="E74" s="123">
        <v>1.044231540416706E-11</v>
      </c>
      <c r="F74" s="123">
        <v>4.954219252500619E-2</v>
      </c>
      <c r="G74" s="123">
        <v>0.49492699826775538</v>
      </c>
      <c r="H74" s="123">
        <v>0.50507300173224468</v>
      </c>
      <c r="I74" s="125"/>
      <c r="J74" s="125"/>
      <c r="K74" s="125">
        <v>5.9675566032971587E-7</v>
      </c>
      <c r="L74" s="125">
        <v>5.2308175889575429E-4</v>
      </c>
      <c r="M74" s="125"/>
      <c r="N74" s="125"/>
      <c r="O74" s="125"/>
      <c r="P74" s="125"/>
      <c r="Q74" s="125">
        <v>0.99998277355299781</v>
      </c>
      <c r="R74" s="125"/>
      <c r="S74" s="125"/>
      <c r="T74" s="125"/>
      <c r="U74" s="125"/>
      <c r="V74" s="125"/>
      <c r="W74" s="17"/>
      <c r="X74" s="17"/>
      <c r="Y74" s="17"/>
      <c r="Z74" s="17"/>
      <c r="AA74" s="17"/>
      <c r="AB74" s="17"/>
      <c r="AC74" s="17"/>
      <c r="AD74" s="17"/>
      <c r="AE74" s="17"/>
      <c r="AF74" s="17"/>
      <c r="AG74" s="17"/>
      <c r="AH74" s="17"/>
      <c r="AI74" s="17"/>
      <c r="AJ74" s="17"/>
      <c r="AK74" s="17"/>
      <c r="AL74" s="17"/>
      <c r="AM74" s="17"/>
      <c r="AN74" s="17"/>
    </row>
    <row r="75" spans="1:40">
      <c r="A75" s="19">
        <v>20.910000000000014</v>
      </c>
      <c r="B75" s="19">
        <v>11.334167880471796</v>
      </c>
      <c r="C75" s="889">
        <v>20.910000000000014</v>
      </c>
      <c r="D75" s="19">
        <v>11.334167880471796</v>
      </c>
      <c r="E75" s="123">
        <v>4.6326780474667635E-12</v>
      </c>
      <c r="F75" s="123">
        <v>4.89366903004059E-2</v>
      </c>
      <c r="G75" s="123">
        <v>0.48887802493277915</v>
      </c>
      <c r="H75" s="123">
        <v>0.5111219750672209</v>
      </c>
      <c r="I75" s="125"/>
      <c r="J75" s="125"/>
      <c r="K75" s="125">
        <v>2.6474758366316677E-7</v>
      </c>
      <c r="L75" s="125">
        <v>2.3213001291864384E-4</v>
      </c>
      <c r="M75" s="125"/>
      <c r="N75" s="125"/>
      <c r="O75" s="125"/>
      <c r="P75" s="125"/>
      <c r="Q75" s="125">
        <v>0.99996117146395136</v>
      </c>
      <c r="R75" s="125"/>
      <c r="S75" s="125"/>
      <c r="T75" s="125"/>
      <c r="U75" s="125"/>
      <c r="V75" s="125"/>
      <c r="W75" s="17"/>
      <c r="X75" s="17"/>
      <c r="Y75" s="17"/>
      <c r="Z75" s="17"/>
      <c r="AA75" s="17"/>
      <c r="AB75" s="17"/>
      <c r="AC75" s="17"/>
      <c r="AD75" s="17"/>
      <c r="AE75" s="17"/>
      <c r="AF75" s="17"/>
      <c r="AG75" s="17"/>
      <c r="AH75" s="17"/>
      <c r="AI75" s="17"/>
      <c r="AJ75" s="17"/>
      <c r="AK75" s="17"/>
      <c r="AL75" s="17"/>
      <c r="AM75" s="17"/>
      <c r="AN75" s="17"/>
    </row>
    <row r="76" spans="1:40">
      <c r="A76" s="19">
        <v>21.410000000000014</v>
      </c>
      <c r="B76" s="19">
        <v>11.522510181646794</v>
      </c>
      <c r="C76" s="889">
        <v>21.410000000000014</v>
      </c>
      <c r="D76" s="19">
        <v>11.522510181646794</v>
      </c>
      <c r="E76" s="123">
        <v>3.0025470279989311E-12</v>
      </c>
      <c r="F76" s="123">
        <v>4.8345810195814916E-2</v>
      </c>
      <c r="G76" s="123">
        <v>0.48297512678097065</v>
      </c>
      <c r="H76" s="123">
        <v>0.51702487321902946</v>
      </c>
      <c r="I76" s="125"/>
      <c r="J76" s="125"/>
      <c r="K76" s="125">
        <v>1.7158911895155093E-7</v>
      </c>
      <c r="L76" s="125">
        <v>1.5046118208148166E-4</v>
      </c>
      <c r="M76" s="125"/>
      <c r="N76" s="125"/>
      <c r="O76" s="125"/>
      <c r="P76" s="125"/>
      <c r="Q76" s="125">
        <v>0.99994009209082058</v>
      </c>
      <c r="R76" s="125"/>
      <c r="S76" s="125"/>
      <c r="T76" s="125"/>
      <c r="U76" s="125"/>
      <c r="V76" s="125"/>
      <c r="W76" s="17"/>
      <c r="X76" s="17"/>
      <c r="Y76" s="17"/>
      <c r="Z76" s="17"/>
      <c r="AA76" s="17"/>
      <c r="AB76" s="17"/>
      <c r="AC76" s="17"/>
      <c r="AD76" s="17"/>
      <c r="AE76" s="17"/>
      <c r="AF76" s="17"/>
      <c r="AG76" s="17"/>
      <c r="AH76" s="17"/>
      <c r="AI76" s="17"/>
      <c r="AJ76" s="17"/>
      <c r="AK76" s="17"/>
      <c r="AL76" s="17"/>
      <c r="AM76" s="17"/>
      <c r="AN76" s="17"/>
    </row>
    <row r="77" spans="1:40">
      <c r="A77" s="19">
        <v>21.910000000000014</v>
      </c>
      <c r="B77" s="19">
        <v>11.65073959948495</v>
      </c>
      <c r="C77" s="889">
        <v>21.910000000000014</v>
      </c>
      <c r="D77" s="19">
        <v>11.65073959948495</v>
      </c>
      <c r="E77" s="123">
        <v>2.2349118616824213E-12</v>
      </c>
      <c r="F77" s="123">
        <v>4.7769028866014605E-2</v>
      </c>
      <c r="G77" s="123">
        <v>0.47721307563827237</v>
      </c>
      <c r="H77" s="123">
        <v>0.52278692436172769</v>
      </c>
      <c r="I77" s="125"/>
      <c r="J77" s="125"/>
      <c r="K77" s="125">
        <v>1.2772042193015224E-7</v>
      </c>
      <c r="L77" s="125">
        <v>1.1199838418049014E-4</v>
      </c>
      <c r="M77" s="125"/>
      <c r="N77" s="125"/>
      <c r="O77" s="125"/>
      <c r="P77" s="125"/>
      <c r="Q77" s="125">
        <v>0.9999195169094045</v>
      </c>
      <c r="R77" s="125"/>
      <c r="S77" s="125"/>
      <c r="T77" s="125"/>
      <c r="U77" s="125"/>
      <c r="V77" s="125"/>
      <c r="W77" s="17"/>
      <c r="X77" s="17"/>
      <c r="Y77" s="17"/>
      <c r="Z77" s="17"/>
      <c r="AA77" s="17"/>
      <c r="AB77" s="17"/>
      <c r="AC77" s="17"/>
      <c r="AD77" s="17"/>
      <c r="AE77" s="17"/>
      <c r="AF77" s="17"/>
      <c r="AG77" s="17"/>
      <c r="AH77" s="17"/>
      <c r="AI77" s="17"/>
      <c r="AJ77" s="17"/>
      <c r="AK77" s="17"/>
      <c r="AL77" s="17"/>
      <c r="AM77" s="17"/>
      <c r="AN77" s="17"/>
    </row>
    <row r="78" spans="1:40">
      <c r="A78" s="19">
        <v>22.910000000000014</v>
      </c>
      <c r="B78" s="19">
        <v>11.824925706256181</v>
      </c>
      <c r="C78" s="889">
        <v>22.910000000000014</v>
      </c>
      <c r="D78" s="19">
        <v>11.824925706256181</v>
      </c>
      <c r="E78" s="123">
        <v>1.4964916355317124E-12</v>
      </c>
      <c r="F78" s="123">
        <v>4.6655791184622215E-2</v>
      </c>
      <c r="G78" s="123">
        <v>0.46609182008855732</v>
      </c>
      <c r="H78" s="123">
        <v>0.53390817991144279</v>
      </c>
      <c r="I78" s="125"/>
      <c r="J78" s="125"/>
      <c r="K78" s="125">
        <v>8.5521292560861439E-8</v>
      </c>
      <c r="L78" s="125">
        <v>7.4996625303331275E-5</v>
      </c>
      <c r="M78" s="125"/>
      <c r="N78" s="125"/>
      <c r="O78" s="125"/>
      <c r="P78" s="125"/>
      <c r="Q78" s="125">
        <v>0.99987980856922398</v>
      </c>
      <c r="R78" s="125"/>
      <c r="S78" s="125"/>
      <c r="T78" s="125"/>
      <c r="U78" s="125"/>
      <c r="V78" s="125"/>
      <c r="W78" s="17"/>
      <c r="X78" s="17"/>
      <c r="Y78" s="17"/>
      <c r="Z78" s="17"/>
      <c r="AA78" s="17"/>
      <c r="AB78" s="17"/>
      <c r="AC78" s="17"/>
      <c r="AD78" s="17"/>
      <c r="AE78" s="17"/>
      <c r="AF78" s="17"/>
      <c r="AG78" s="17"/>
      <c r="AH78" s="17"/>
      <c r="AI78" s="17"/>
      <c r="AJ78" s="17"/>
      <c r="AK78" s="17"/>
      <c r="AL78" s="17"/>
      <c r="AM78" s="17"/>
      <c r="AN78" s="17"/>
    </row>
    <row r="79" spans="1:40">
      <c r="A79" s="19">
        <v>23.910000000000014</v>
      </c>
      <c r="B79" s="19">
        <v>11.943964170757681</v>
      </c>
      <c r="C79" s="889">
        <v>23.910000000000014</v>
      </c>
      <c r="D79" s="19">
        <v>11.943964170757681</v>
      </c>
      <c r="E79" s="123">
        <v>1.1377211438087334E-12</v>
      </c>
      <c r="F79" s="123">
        <v>4.5593258928847268E-2</v>
      </c>
      <c r="G79" s="123">
        <v>0.45547711227510806</v>
      </c>
      <c r="H79" s="123">
        <v>0.54452288772489199</v>
      </c>
      <c r="I79" s="125"/>
      <c r="J79" s="125"/>
      <c r="K79" s="125">
        <v>6.5018328520559654E-8</v>
      </c>
      <c r="L79" s="125">
        <v>5.701787998737637E-5</v>
      </c>
      <c r="M79" s="125"/>
      <c r="N79" s="125"/>
      <c r="O79" s="125"/>
      <c r="P79" s="125"/>
      <c r="Q79" s="125">
        <v>0.9998419132360189</v>
      </c>
      <c r="R79" s="125"/>
      <c r="S79" s="125"/>
      <c r="T79" s="125"/>
      <c r="U79" s="125"/>
      <c r="V79" s="125"/>
      <c r="W79" s="17"/>
      <c r="X79" s="17"/>
      <c r="Y79" s="17"/>
      <c r="Z79" s="17"/>
      <c r="AA79" s="17"/>
      <c r="AB79" s="17"/>
      <c r="AC79" s="17"/>
      <c r="AD79" s="17"/>
      <c r="AE79" s="17"/>
      <c r="AF79" s="17"/>
      <c r="AG79" s="17"/>
      <c r="AH79" s="17"/>
      <c r="AI79" s="17"/>
      <c r="AJ79" s="17"/>
      <c r="AK79" s="17"/>
      <c r="AL79" s="17"/>
      <c r="AM79" s="17"/>
      <c r="AN79" s="17"/>
    </row>
    <row r="80" spans="1:40">
      <c r="A80" s="19">
        <v>25.910000000000014</v>
      </c>
      <c r="B80" s="19">
        <v>12.104770549107343</v>
      </c>
      <c r="C80" s="889">
        <v>25.910000000000014</v>
      </c>
      <c r="D80" s="19">
        <v>12.104770549107343</v>
      </c>
      <c r="E80" s="123">
        <v>7.8565060792569933E-13</v>
      </c>
      <c r="F80" s="123">
        <v>4.3607057262516118E-2</v>
      </c>
      <c r="G80" s="123">
        <v>0.43563493792202124</v>
      </c>
      <c r="H80" s="123">
        <v>0.56436506207797887</v>
      </c>
      <c r="I80" s="125"/>
      <c r="J80" s="125"/>
      <c r="K80" s="125">
        <v>4.4898251767786113E-8</v>
      </c>
      <c r="L80" s="125">
        <v>3.9374255044141682E-5</v>
      </c>
      <c r="M80" s="125"/>
      <c r="N80" s="125"/>
      <c r="O80" s="125"/>
      <c r="P80" s="125"/>
      <c r="Q80" s="125">
        <v>0.99977108664928849</v>
      </c>
      <c r="R80" s="125"/>
      <c r="S80" s="125"/>
      <c r="T80" s="125"/>
      <c r="U80" s="125"/>
      <c r="V80" s="125"/>
      <c r="W80" s="17"/>
      <c r="X80" s="17"/>
      <c r="Y80" s="17"/>
      <c r="Z80" s="17"/>
      <c r="AA80" s="17"/>
      <c r="AB80" s="17"/>
      <c r="AC80" s="17"/>
      <c r="AD80" s="17"/>
      <c r="AE80" s="17"/>
      <c r="AF80" s="17"/>
      <c r="AG80" s="17"/>
      <c r="AH80" s="17"/>
      <c r="AI80" s="17"/>
      <c r="AJ80" s="17"/>
      <c r="AK80" s="17"/>
      <c r="AL80" s="17"/>
      <c r="AM80" s="17"/>
      <c r="AN80" s="17"/>
    </row>
    <row r="81" spans="1:40">
      <c r="A81" s="19">
        <v>27.910000000000014</v>
      </c>
      <c r="B81" s="19">
        <v>12.21319927694276</v>
      </c>
      <c r="C81" s="889">
        <v>27.910000000000014</v>
      </c>
      <c r="D81" s="19">
        <v>12.21319927694276</v>
      </c>
      <c r="E81" s="123">
        <v>6.1206947790458902E-13</v>
      </c>
      <c r="F81" s="123">
        <v>4.1786683339230156E-2</v>
      </c>
      <c r="G81" s="123">
        <v>0.41744938426215811</v>
      </c>
      <c r="H81" s="123">
        <v>0.58255061573784195</v>
      </c>
      <c r="I81" s="125"/>
      <c r="J81" s="125"/>
      <c r="K81" s="125">
        <v>3.4978461817140012E-8</v>
      </c>
      <c r="L81" s="125">
        <v>3.0675199812823656E-5</v>
      </c>
      <c r="M81" s="125"/>
      <c r="N81" s="125"/>
      <c r="O81" s="125"/>
      <c r="P81" s="125"/>
      <c r="Q81" s="125">
        <v>0.99970618656059063</v>
      </c>
      <c r="R81" s="125"/>
      <c r="S81" s="125"/>
      <c r="T81" s="125"/>
      <c r="U81" s="125"/>
      <c r="V81" s="125"/>
      <c r="W81" s="17"/>
      <c r="X81" s="17"/>
      <c r="Y81" s="17"/>
      <c r="Z81" s="17"/>
      <c r="AA81" s="17"/>
      <c r="AB81" s="17"/>
      <c r="AC81" s="17"/>
      <c r="AD81" s="17"/>
      <c r="AE81" s="17"/>
      <c r="AF81" s="17"/>
      <c r="AG81" s="17"/>
      <c r="AH81" s="17"/>
      <c r="AI81" s="17"/>
      <c r="AJ81" s="17"/>
      <c r="AK81" s="17"/>
      <c r="AL81" s="17"/>
      <c r="AM81" s="17"/>
      <c r="AN81" s="17"/>
    </row>
    <row r="82" spans="1:40">
      <c r="A82" s="19"/>
      <c r="B82" s="19"/>
      <c r="C82" s="889"/>
      <c r="D82" s="19"/>
      <c r="E82" s="123"/>
      <c r="F82" s="123"/>
      <c r="G82" s="123"/>
      <c r="H82" s="123"/>
      <c r="I82" s="125"/>
      <c r="J82" s="125"/>
      <c r="K82" s="125"/>
      <c r="L82" s="125"/>
      <c r="M82" s="125"/>
      <c r="N82" s="125"/>
      <c r="O82" s="125"/>
      <c r="P82" s="125"/>
      <c r="Q82" s="125"/>
      <c r="R82" s="125"/>
      <c r="S82" s="125"/>
      <c r="T82" s="125"/>
      <c r="U82" s="125"/>
      <c r="V82" s="125"/>
      <c r="W82" s="17"/>
      <c r="X82" s="17"/>
      <c r="Y82" s="17"/>
      <c r="Z82" s="17"/>
      <c r="AA82" s="17"/>
      <c r="AB82" s="17"/>
      <c r="AC82" s="17"/>
      <c r="AD82" s="17"/>
      <c r="AE82" s="17"/>
      <c r="AF82" s="17"/>
      <c r="AG82" s="17"/>
      <c r="AH82" s="17"/>
      <c r="AI82" s="17"/>
      <c r="AJ82" s="17"/>
      <c r="AK82" s="17"/>
      <c r="AL82" s="17"/>
      <c r="AM82" s="17"/>
      <c r="AN82" s="17"/>
    </row>
    <row r="83" spans="1:40">
      <c r="A83" s="19"/>
      <c r="B83" s="19"/>
      <c r="C83" s="889"/>
      <c r="D83" s="19"/>
      <c r="E83" s="123"/>
      <c r="F83" s="123"/>
      <c r="G83" s="123"/>
      <c r="H83" s="123"/>
      <c r="I83" s="125"/>
      <c r="J83" s="125"/>
      <c r="K83" s="125"/>
      <c r="L83" s="125"/>
      <c r="M83" s="125"/>
      <c r="N83" s="125"/>
      <c r="O83" s="125"/>
      <c r="P83" s="125"/>
      <c r="Q83" s="125"/>
      <c r="R83" s="125"/>
      <c r="S83" s="125"/>
      <c r="T83" s="125"/>
      <c r="U83" s="125"/>
      <c r="V83" s="125"/>
      <c r="W83" s="17"/>
      <c r="X83" s="17"/>
      <c r="Y83" s="17"/>
      <c r="Z83" s="17"/>
      <c r="AA83" s="17"/>
      <c r="AB83" s="17"/>
      <c r="AC83" s="17"/>
      <c r="AD83" s="17"/>
      <c r="AE83" s="17"/>
      <c r="AF83" s="17"/>
      <c r="AG83" s="17"/>
      <c r="AH83" s="17"/>
      <c r="AI83" s="17"/>
      <c r="AJ83" s="17"/>
      <c r="AK83" s="17"/>
      <c r="AL83" s="17"/>
      <c r="AM83" s="17"/>
      <c r="AN83" s="17"/>
    </row>
    <row r="84" spans="1:40">
      <c r="A84" s="19"/>
      <c r="B84" s="19"/>
      <c r="C84" s="889"/>
      <c r="D84" s="19"/>
      <c r="E84" s="123"/>
      <c r="F84" s="123"/>
      <c r="G84" s="123"/>
      <c r="H84" s="123"/>
      <c r="I84" s="125"/>
      <c r="J84" s="125"/>
      <c r="K84" s="125"/>
      <c r="L84" s="125"/>
      <c r="M84" s="125"/>
      <c r="N84" s="125"/>
      <c r="O84" s="125"/>
      <c r="P84" s="125"/>
      <c r="Q84" s="125"/>
      <c r="R84" s="125"/>
      <c r="S84" s="125"/>
      <c r="T84" s="125"/>
      <c r="U84" s="125"/>
      <c r="V84" s="125"/>
      <c r="W84" s="17"/>
      <c r="X84" s="17"/>
      <c r="Y84" s="17"/>
      <c r="Z84" s="17"/>
      <c r="AA84" s="17"/>
      <c r="AB84" s="17"/>
      <c r="AC84" s="17"/>
      <c r="AD84" s="17"/>
      <c r="AE84" s="17"/>
      <c r="AF84" s="17"/>
      <c r="AG84" s="17"/>
      <c r="AH84" s="17"/>
      <c r="AI84" s="17"/>
      <c r="AJ84" s="17"/>
      <c r="AK84" s="17"/>
      <c r="AL84" s="17"/>
      <c r="AM84" s="17"/>
      <c r="AN84" s="17"/>
    </row>
    <row r="85" spans="1:40">
      <c r="A85" s="19"/>
      <c r="B85" s="19"/>
      <c r="C85" s="889"/>
      <c r="D85" s="19"/>
      <c r="E85" s="123"/>
      <c r="F85" s="123"/>
      <c r="G85" s="123"/>
      <c r="H85" s="123"/>
      <c r="I85" s="125"/>
      <c r="J85" s="125"/>
      <c r="K85" s="125"/>
      <c r="L85" s="125"/>
      <c r="M85" s="125"/>
      <c r="N85" s="125"/>
      <c r="O85" s="125"/>
      <c r="P85" s="125"/>
      <c r="Q85" s="125"/>
      <c r="R85" s="125"/>
      <c r="S85" s="125"/>
      <c r="T85" s="125"/>
      <c r="U85" s="125"/>
      <c r="V85" s="125"/>
      <c r="W85" s="17"/>
      <c r="X85" s="17"/>
      <c r="Y85" s="17"/>
      <c r="Z85" s="17"/>
      <c r="AA85" s="17"/>
      <c r="AB85" s="17"/>
      <c r="AC85" s="17"/>
      <c r="AD85" s="17"/>
      <c r="AE85" s="17"/>
      <c r="AF85" s="17"/>
      <c r="AG85" s="17"/>
      <c r="AH85" s="17"/>
      <c r="AI85" s="17"/>
      <c r="AJ85" s="17"/>
      <c r="AK85" s="17"/>
      <c r="AL85" s="17"/>
      <c r="AM85" s="17"/>
      <c r="AN85" s="17"/>
    </row>
    <row r="86" spans="1:40">
      <c r="A86" s="19"/>
      <c r="B86" s="19"/>
      <c r="C86" s="889"/>
      <c r="D86" s="19"/>
      <c r="E86" s="123"/>
      <c r="F86" s="123"/>
      <c r="G86" s="123"/>
      <c r="H86" s="123"/>
      <c r="I86" s="125"/>
      <c r="J86" s="125"/>
      <c r="K86" s="125"/>
      <c r="L86" s="125"/>
      <c r="M86" s="125"/>
      <c r="N86" s="125"/>
      <c r="O86" s="125"/>
      <c r="P86" s="125"/>
      <c r="Q86" s="125"/>
      <c r="R86" s="125"/>
      <c r="S86" s="125"/>
      <c r="T86" s="125"/>
      <c r="U86" s="125"/>
      <c r="V86" s="125"/>
      <c r="W86" s="17"/>
      <c r="X86" s="17"/>
      <c r="Y86" s="17"/>
      <c r="Z86" s="17"/>
      <c r="AA86" s="17"/>
      <c r="AB86" s="17"/>
      <c r="AC86" s="17"/>
      <c r="AD86" s="17"/>
      <c r="AE86" s="17"/>
      <c r="AF86" s="17"/>
      <c r="AG86" s="17"/>
      <c r="AH86" s="17"/>
      <c r="AI86" s="17"/>
      <c r="AJ86" s="17"/>
      <c r="AK86" s="17"/>
      <c r="AL86" s="17"/>
      <c r="AM86" s="17"/>
      <c r="AN86" s="17"/>
    </row>
    <row r="87" spans="1:40">
      <c r="A87" s="19"/>
      <c r="B87" s="19"/>
      <c r="C87" s="889"/>
      <c r="D87" s="19"/>
      <c r="E87" s="123"/>
      <c r="F87" s="123"/>
      <c r="G87" s="123"/>
      <c r="H87" s="123"/>
      <c r="I87" s="125"/>
      <c r="J87" s="125"/>
      <c r="K87" s="125"/>
      <c r="L87" s="125"/>
      <c r="M87" s="125"/>
      <c r="N87" s="125"/>
      <c r="O87" s="125"/>
      <c r="P87" s="125"/>
      <c r="Q87" s="125"/>
      <c r="R87" s="125"/>
      <c r="S87" s="125"/>
      <c r="T87" s="125"/>
      <c r="U87" s="125"/>
      <c r="V87" s="125"/>
      <c r="W87" s="17"/>
      <c r="X87" s="17"/>
      <c r="Y87" s="17"/>
      <c r="Z87" s="17"/>
      <c r="AA87" s="17"/>
      <c r="AB87" s="17"/>
      <c r="AC87" s="17"/>
      <c r="AD87" s="17"/>
      <c r="AE87" s="17"/>
      <c r="AF87" s="17"/>
      <c r="AG87" s="17"/>
      <c r="AH87" s="17"/>
      <c r="AI87" s="17"/>
      <c r="AJ87" s="17"/>
      <c r="AK87" s="17"/>
      <c r="AL87" s="17"/>
      <c r="AM87" s="17"/>
      <c r="AN87" s="17"/>
    </row>
    <row r="88" spans="1:40">
      <c r="A88" s="19"/>
      <c r="B88" s="19"/>
      <c r="C88" s="889"/>
      <c r="D88" s="19"/>
      <c r="E88" s="123"/>
      <c r="F88" s="123"/>
      <c r="G88" s="123"/>
      <c r="H88" s="123"/>
      <c r="I88" s="125"/>
      <c r="J88" s="125"/>
      <c r="K88" s="125"/>
      <c r="L88" s="125"/>
      <c r="M88" s="125"/>
      <c r="N88" s="125"/>
      <c r="O88" s="125"/>
      <c r="P88" s="125"/>
      <c r="Q88" s="125"/>
      <c r="R88" s="125"/>
      <c r="S88" s="125"/>
      <c r="T88" s="125"/>
      <c r="U88" s="125"/>
      <c r="V88" s="125"/>
      <c r="W88" s="17"/>
      <c r="X88" s="17"/>
      <c r="Y88" s="17"/>
      <c r="Z88" s="17"/>
      <c r="AA88" s="17"/>
      <c r="AB88" s="17"/>
      <c r="AC88" s="17"/>
      <c r="AD88" s="17"/>
      <c r="AE88" s="17"/>
      <c r="AF88" s="17"/>
      <c r="AG88" s="17"/>
      <c r="AH88" s="17"/>
      <c r="AI88" s="17"/>
      <c r="AJ88" s="17"/>
      <c r="AK88" s="17"/>
      <c r="AL88" s="17"/>
      <c r="AM88" s="17"/>
      <c r="AN88" s="17"/>
    </row>
    <row r="89" spans="1:40">
      <c r="A89" s="19"/>
      <c r="B89" s="19"/>
      <c r="C89" s="889"/>
      <c r="D89" s="19"/>
      <c r="E89" s="123"/>
      <c r="F89" s="123"/>
      <c r="G89" s="123"/>
      <c r="H89" s="123"/>
      <c r="I89" s="125"/>
      <c r="J89" s="125"/>
      <c r="K89" s="125"/>
      <c r="L89" s="125"/>
      <c r="M89" s="125"/>
      <c r="N89" s="125"/>
      <c r="O89" s="125"/>
      <c r="P89" s="125"/>
      <c r="Q89" s="125"/>
      <c r="R89" s="125"/>
      <c r="S89" s="125"/>
      <c r="T89" s="125"/>
      <c r="U89" s="125"/>
      <c r="V89" s="125"/>
      <c r="W89" s="17"/>
      <c r="X89" s="17"/>
      <c r="Y89" s="17"/>
      <c r="Z89" s="17"/>
      <c r="AA89" s="17"/>
      <c r="AB89" s="17"/>
      <c r="AC89" s="17"/>
      <c r="AD89" s="17"/>
      <c r="AE89" s="17"/>
      <c r="AF89" s="17"/>
      <c r="AG89" s="17"/>
      <c r="AH89" s="17"/>
      <c r="AI89" s="17"/>
      <c r="AJ89" s="17"/>
      <c r="AK89" s="17"/>
      <c r="AL89" s="17"/>
      <c r="AM89" s="17"/>
      <c r="AN89" s="17"/>
    </row>
    <row r="90" spans="1:40">
      <c r="A90" s="19"/>
      <c r="B90" s="19"/>
      <c r="C90" s="889"/>
      <c r="D90" s="19"/>
      <c r="E90" s="123"/>
      <c r="F90" s="123"/>
      <c r="G90" s="123"/>
      <c r="H90" s="123"/>
      <c r="I90" s="125"/>
      <c r="J90" s="125"/>
      <c r="K90" s="125"/>
      <c r="L90" s="125"/>
      <c r="M90" s="125"/>
      <c r="N90" s="125"/>
      <c r="O90" s="125"/>
      <c r="P90" s="125"/>
      <c r="Q90" s="125"/>
      <c r="R90" s="125"/>
      <c r="S90" s="125"/>
      <c r="T90" s="125"/>
      <c r="U90" s="125"/>
      <c r="V90" s="125"/>
      <c r="W90" s="17"/>
      <c r="X90" s="17"/>
      <c r="Y90" s="17"/>
      <c r="Z90" s="17"/>
      <c r="AA90" s="17"/>
      <c r="AB90" s="17"/>
      <c r="AC90" s="17"/>
      <c r="AD90" s="17"/>
      <c r="AE90" s="17"/>
      <c r="AF90" s="17"/>
      <c r="AG90" s="17"/>
      <c r="AH90" s="17"/>
      <c r="AI90" s="17"/>
      <c r="AJ90" s="17"/>
      <c r="AK90" s="17"/>
      <c r="AL90" s="17"/>
      <c r="AM90" s="17"/>
      <c r="AN90" s="17"/>
    </row>
    <row r="91" spans="1:40">
      <c r="A91" s="19"/>
      <c r="B91" s="19"/>
      <c r="C91" s="889"/>
      <c r="D91" s="19"/>
      <c r="E91" s="123"/>
      <c r="F91" s="123"/>
      <c r="G91" s="123"/>
      <c r="H91" s="123"/>
      <c r="I91" s="125"/>
      <c r="J91" s="125"/>
      <c r="K91" s="125"/>
      <c r="L91" s="125"/>
      <c r="M91" s="125"/>
      <c r="N91" s="125"/>
      <c r="O91" s="125"/>
      <c r="P91" s="125"/>
      <c r="Q91" s="125"/>
      <c r="R91" s="125"/>
      <c r="S91" s="125"/>
      <c r="T91" s="125"/>
      <c r="U91" s="125"/>
      <c r="V91" s="125"/>
      <c r="W91" s="17"/>
      <c r="X91" s="17"/>
      <c r="Y91" s="17"/>
      <c r="Z91" s="17"/>
      <c r="AA91" s="17"/>
      <c r="AB91" s="17"/>
      <c r="AC91" s="17"/>
      <c r="AD91" s="17"/>
      <c r="AE91" s="17"/>
      <c r="AF91" s="17"/>
      <c r="AG91" s="17"/>
      <c r="AH91" s="17"/>
      <c r="AI91" s="17"/>
      <c r="AJ91" s="17"/>
      <c r="AK91" s="17"/>
      <c r="AL91" s="17"/>
      <c r="AM91" s="17"/>
      <c r="AN91" s="17"/>
    </row>
    <row r="92" spans="1:40">
      <c r="A92" s="19"/>
      <c r="B92" s="19"/>
      <c r="C92" s="88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row>
    <row r="93" spans="1:40">
      <c r="A93" s="19"/>
      <c r="B93" s="19"/>
      <c r="C93" s="88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row>
    <row r="94" spans="1:40">
      <c r="A94" s="19"/>
      <c r="B94" s="19"/>
      <c r="C94" s="88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row>
    <row r="95" spans="1:40">
      <c r="A95" s="19"/>
      <c r="B95" s="19"/>
      <c r="C95" s="88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row>
    <row r="96" spans="1:40">
      <c r="A96" s="19"/>
      <c r="B96" s="19"/>
      <c r="C96" s="88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row>
    <row r="97" spans="1:40">
      <c r="A97" s="19"/>
      <c r="B97" s="19"/>
      <c r="C97" s="88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row>
    <row r="98" spans="1:40">
      <c r="A98" s="19"/>
      <c r="B98" s="19"/>
      <c r="C98" s="88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row>
    <row r="99" spans="1:40">
      <c r="A99" s="19"/>
      <c r="B99" s="19"/>
      <c r="C99" s="88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row>
    <row r="100" spans="1:40">
      <c r="A100" s="19"/>
      <c r="B100" s="19"/>
      <c r="C100" s="88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row>
    <row r="101" spans="1:40">
      <c r="A101" s="19"/>
      <c r="B101" s="19"/>
      <c r="C101" s="88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row>
    <row r="102" spans="1:40">
      <c r="A102" s="19"/>
      <c r="B102" s="19"/>
      <c r="C102" s="88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row>
    <row r="103" spans="1:40">
      <c r="A103" s="19"/>
      <c r="B103" s="19"/>
      <c r="C103" s="88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row>
    <row r="104" spans="1:40">
      <c r="A104" s="19"/>
      <c r="B104" s="19"/>
      <c r="C104" s="88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row>
    <row r="105" spans="1:40">
      <c r="A105" s="19"/>
      <c r="B105" s="19"/>
      <c r="C105" s="88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row>
    <row r="106" spans="1:40">
      <c r="A106" s="19"/>
      <c r="B106" s="19"/>
      <c r="C106" s="88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row>
    <row r="107" spans="1:40">
      <c r="A107" s="19"/>
      <c r="B107" s="19"/>
      <c r="C107" s="88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row>
    <row r="108" spans="1:40">
      <c r="A108" s="19"/>
      <c r="B108" s="19"/>
      <c r="C108" s="88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row>
    <row r="109" spans="1:40">
      <c r="A109" s="19"/>
      <c r="B109" s="19"/>
      <c r="C109" s="88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row>
    <row r="110" spans="1:40">
      <c r="A110" s="19"/>
      <c r="B110" s="19"/>
      <c r="C110" s="88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row>
    <row r="111" spans="1:40">
      <c r="A111" s="19"/>
      <c r="B111" s="19"/>
      <c r="C111" s="88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row>
    <row r="112" spans="1:40">
      <c r="A112" s="19"/>
      <c r="B112" s="19"/>
      <c r="C112" s="88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row>
    <row r="113" spans="1:40">
      <c r="A113" s="19"/>
      <c r="B113" s="19"/>
      <c r="C113" s="88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row>
    <row r="114" spans="1:40">
      <c r="A114" s="19"/>
      <c r="B114" s="19"/>
      <c r="C114" s="88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row>
    <row r="115" spans="1:40">
      <c r="A115" s="19"/>
      <c r="B115" s="19"/>
      <c r="C115" s="88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row>
    <row r="116" spans="1:40">
      <c r="A116" s="19"/>
      <c r="B116" s="19"/>
      <c r="C116" s="88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row>
    <row r="117" spans="1:40">
      <c r="A117" s="19"/>
      <c r="B117" s="19"/>
      <c r="C117" s="88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row>
    <row r="118" spans="1:40">
      <c r="A118" s="19"/>
      <c r="B118" s="19"/>
      <c r="C118" s="88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row>
    <row r="119" spans="1:40">
      <c r="A119" s="19"/>
      <c r="B119" s="19"/>
      <c r="C119" s="88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row>
    <row r="120" spans="1:40">
      <c r="A120" s="19"/>
      <c r="B120" s="19"/>
      <c r="C120" s="88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row>
    <row r="121" spans="1:40">
      <c r="A121" s="19"/>
      <c r="B121" s="19"/>
      <c r="C121" s="88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row>
    <row r="122" spans="1:40">
      <c r="A122" s="19"/>
      <c r="B122" s="19"/>
      <c r="C122" s="88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row>
    <row r="123" spans="1:40">
      <c r="A123" s="19"/>
      <c r="B123" s="19"/>
      <c r="C123" s="88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row>
    <row r="124" spans="1:40">
      <c r="A124" s="19"/>
      <c r="B124" s="19"/>
      <c r="C124" s="88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row>
    <row r="125" spans="1:40">
      <c r="A125" s="19"/>
      <c r="B125" s="19"/>
      <c r="C125" s="88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row>
    <row r="126" spans="1:40">
      <c r="A126" s="19"/>
      <c r="B126" s="19"/>
      <c r="C126" s="88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row>
    <row r="127" spans="1:40">
      <c r="A127" s="19"/>
      <c r="B127" s="19"/>
      <c r="C127" s="88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row>
    <row r="128" spans="1:40">
      <c r="A128" s="19"/>
      <c r="B128" s="19"/>
      <c r="C128" s="88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row>
    <row r="129" spans="1:40">
      <c r="A129" s="19"/>
      <c r="B129" s="19"/>
      <c r="C129" s="88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row>
    <row r="130" spans="1:40">
      <c r="A130" s="19"/>
      <c r="B130" s="19"/>
      <c r="C130" s="88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row>
    <row r="131" spans="1:40">
      <c r="A131" s="19"/>
      <c r="B131" s="19"/>
      <c r="C131" s="88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row>
    <row r="132" spans="1:40">
      <c r="A132" s="19"/>
      <c r="B132" s="19"/>
      <c r="C132" s="88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row>
    <row r="133" spans="1:40">
      <c r="A133" s="19"/>
      <c r="B133" s="19"/>
      <c r="C133" s="88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row>
    <row r="134" spans="1:40">
      <c r="A134" s="19"/>
      <c r="B134" s="19"/>
      <c r="C134" s="88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row>
    <row r="135" spans="1:40">
      <c r="A135" s="19"/>
      <c r="B135" s="19"/>
      <c r="C135" s="88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row>
    <row r="136" spans="1:40">
      <c r="A136" s="19"/>
      <c r="B136" s="19"/>
      <c r="C136" s="88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row>
    <row r="137" spans="1:40">
      <c r="A137" s="19"/>
      <c r="B137" s="19"/>
      <c r="C137" s="88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row>
    <row r="138" spans="1:40">
      <c r="A138" s="19"/>
      <c r="B138" s="19"/>
      <c r="C138" s="88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row>
    <row r="139" spans="1:40">
      <c r="A139" s="19"/>
      <c r="B139" s="19"/>
      <c r="C139" s="88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row>
    <row r="140" spans="1:40">
      <c r="A140" s="19"/>
      <c r="B140" s="19"/>
      <c r="C140" s="88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row>
    <row r="141" spans="1:40">
      <c r="A141" s="19"/>
      <c r="B141" s="19"/>
      <c r="C141" s="88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row>
    <row r="142" spans="1:40">
      <c r="A142" s="19"/>
      <c r="B142" s="19"/>
      <c r="C142" s="88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row>
    <row r="143" spans="1:40">
      <c r="A143" s="19"/>
      <c r="B143" s="19"/>
      <c r="C143" s="88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row>
    <row r="144" spans="1:40">
      <c r="A144" s="19"/>
      <c r="B144" s="19"/>
      <c r="C144" s="88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row>
    <row r="145" spans="1:40">
      <c r="A145" s="19"/>
      <c r="B145" s="19"/>
      <c r="C145" s="88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row>
    <row r="146" spans="1:40">
      <c r="A146" s="19"/>
      <c r="B146" s="19"/>
      <c r="C146" s="88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row>
    <row r="147" spans="1:40">
      <c r="A147" s="19"/>
      <c r="B147" s="19"/>
      <c r="C147" s="88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row>
    <row r="148" spans="1:40">
      <c r="A148" s="19"/>
      <c r="B148" s="19"/>
      <c r="C148" s="88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row>
    <row r="149" spans="1:40">
      <c r="A149" s="19"/>
      <c r="B149" s="19"/>
      <c r="C149" s="88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row>
    <row r="150" spans="1:40">
      <c r="A150" s="19"/>
      <c r="B150" s="19"/>
      <c r="C150" s="88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row>
    <row r="151" spans="1:40">
      <c r="A151" s="19"/>
      <c r="B151" s="19"/>
      <c r="C151" s="88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row>
    <row r="152" spans="1:40">
      <c r="A152" s="19"/>
      <c r="B152" s="19"/>
      <c r="C152" s="88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row>
    <row r="153" spans="1:40">
      <c r="A153" s="19"/>
      <c r="B153" s="19"/>
      <c r="C153" s="88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row>
    <row r="154" spans="1:40">
      <c r="A154" s="19"/>
      <c r="B154" s="19"/>
      <c r="C154" s="88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row>
    <row r="155" spans="1:40">
      <c r="A155" s="19"/>
      <c r="B155" s="19"/>
      <c r="C155" s="88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row>
    <row r="156" spans="1:40">
      <c r="A156" s="19"/>
      <c r="B156" s="19"/>
      <c r="C156" s="88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row>
    <row r="157" spans="1:40">
      <c r="A157" s="19"/>
      <c r="B157" s="19"/>
      <c r="C157" s="88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row>
    <row r="158" spans="1:40">
      <c r="A158" s="19"/>
      <c r="B158" s="19"/>
      <c r="C158" s="88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row>
    <row r="159" spans="1:40">
      <c r="A159" s="19"/>
      <c r="B159" s="19"/>
      <c r="C159" s="88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row>
    <row r="160" spans="1:40">
      <c r="A160" s="19"/>
      <c r="B160" s="19"/>
      <c r="C160" s="88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row>
    <row r="161" spans="1:40">
      <c r="A161" s="19"/>
      <c r="B161" s="19"/>
      <c r="C161" s="88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row>
    <row r="162" spans="1:40">
      <c r="A162" s="19"/>
      <c r="B162" s="19"/>
      <c r="C162" s="88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row>
    <row r="164" spans="1:40">
      <c r="A164" s="24"/>
    </row>
  </sheetData>
  <conditionalFormatting sqref="C20">
    <cfRule type="dataBar" priority="4">
      <dataBar showValue="0">
        <cfvo type="num" val="0"/>
        <cfvo type="formula" val="$F$18"/>
        <color rgb="FF002060"/>
      </dataBar>
    </cfRule>
  </conditionalFormatting>
  <conditionalFormatting sqref="B31:B33 D31:E35">
    <cfRule type="colorScale" priority="3">
      <colorScale>
        <cfvo type="formula" val="$B$31"/>
        <cfvo type="formula" val="($B$32)"/>
        <cfvo type="formula" val="$B$33"/>
        <color rgb="FFF8DF4A"/>
        <color rgb="FFFFB24B"/>
        <color rgb="FFFF5050"/>
      </colorScale>
    </cfRule>
  </conditionalFormatting>
  <conditionalFormatting sqref="H30:H36">
    <cfRule type="dataBar" priority="2">
      <dataBar>
        <cfvo type="num" val="0"/>
        <cfvo type="num" val="100"/>
        <color rgb="FFFFCC00"/>
      </dataBar>
    </cfRule>
  </conditionalFormatting>
  <conditionalFormatting sqref="B36:B37">
    <cfRule type="dataBar" priority="1">
      <dataBar>
        <cfvo type="num" val="0"/>
        <cfvo type="num" val="100"/>
        <color rgb="FFFFCC00"/>
      </dataBar>
    </cfRule>
  </conditionalFormatting>
  <pageMargins left="0.511811024" right="0.511811024" top="0.78740157499999996" bottom="0.78740157499999996" header="0.31496062000000002" footer="0.31496062000000002"/>
  <drawing r:id="rId1"/>
  <legacyDrawing r:id="rId2"/>
</worksheet>
</file>

<file path=xl/worksheets/sheet4.xml><?xml version="1.0" encoding="utf-8"?>
<worksheet xmlns="http://schemas.openxmlformats.org/spreadsheetml/2006/main" xmlns:r="http://schemas.openxmlformats.org/officeDocument/2006/relationships">
  <sheetPr codeName="Plan8"/>
  <dimension ref="A1:BZ162"/>
  <sheetViews>
    <sheetView zoomScale="85" zoomScaleNormal="85" workbookViewId="0"/>
  </sheetViews>
  <sheetFormatPr defaultRowHeight="12.75"/>
  <cols>
    <col min="1" max="1" width="13.42578125" customWidth="1"/>
    <col min="2" max="8" width="11.7109375" customWidth="1"/>
    <col min="9" max="9" width="16.42578125" customWidth="1"/>
    <col min="10" max="10" width="15.5703125" customWidth="1"/>
    <col min="11" max="20" width="15.7109375" customWidth="1"/>
    <col min="21" max="31" width="12.7109375" customWidth="1"/>
    <col min="32" max="32" width="18" customWidth="1"/>
    <col min="33" max="39" width="12.7109375" customWidth="1"/>
  </cols>
  <sheetData>
    <row r="1" spans="1:78" ht="24" customHeight="1">
      <c r="A1" s="402"/>
      <c r="B1" s="88"/>
      <c r="C1" s="88" t="s">
        <v>643</v>
      </c>
      <c r="D1" s="210"/>
      <c r="E1" s="210"/>
      <c r="F1" s="210"/>
      <c r="G1" s="210"/>
      <c r="H1" s="535" t="s">
        <v>755</v>
      </c>
      <c r="I1" s="210"/>
      <c r="J1" s="321"/>
      <c r="K1" s="356" t="s">
        <v>0</v>
      </c>
      <c r="L1" s="215"/>
      <c r="M1" s="215"/>
      <c r="N1" s="403" t="s">
        <v>646</v>
      </c>
      <c r="O1" s="403"/>
      <c r="P1" s="403"/>
      <c r="Q1" s="215"/>
      <c r="R1" s="215"/>
      <c r="S1" s="215"/>
      <c r="T1" s="218"/>
      <c r="U1" s="752" t="s">
        <v>1</v>
      </c>
      <c r="V1" s="216"/>
      <c r="W1" s="217"/>
      <c r="X1" s="217"/>
      <c r="Y1" s="217"/>
      <c r="Z1" s="101"/>
      <c r="AA1" s="101"/>
      <c r="AB1" s="433" t="s">
        <v>486</v>
      </c>
      <c r="AC1" s="305"/>
      <c r="AD1" s="304"/>
      <c r="AE1" s="306"/>
      <c r="AF1" s="321" t="s">
        <v>688</v>
      </c>
      <c r="AG1" s="215"/>
      <c r="AH1" s="215"/>
      <c r="AI1" s="215"/>
      <c r="AJ1" s="215"/>
      <c r="AK1" s="215"/>
      <c r="AL1" s="215"/>
      <c r="AM1" s="218"/>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row>
    <row r="2" spans="1:78" ht="18" customHeight="1" thickBot="1">
      <c r="A2" s="723" t="s">
        <v>684</v>
      </c>
      <c r="B2" s="724"/>
      <c r="C2" s="724"/>
      <c r="D2" s="724"/>
      <c r="E2" s="724"/>
      <c r="F2" s="724"/>
      <c r="G2" s="725"/>
      <c r="H2" s="724"/>
      <c r="I2" s="726"/>
      <c r="J2" s="27"/>
      <c r="K2" s="358">
        <v>5</v>
      </c>
      <c r="L2" s="357">
        <v>8</v>
      </c>
      <c r="M2" s="357">
        <v>98</v>
      </c>
      <c r="N2" s="357">
        <v>1</v>
      </c>
      <c r="O2" s="357">
        <v>2</v>
      </c>
      <c r="P2" s="357">
        <v>6</v>
      </c>
      <c r="Q2" s="357">
        <v>3</v>
      </c>
      <c r="R2" s="196"/>
      <c r="S2" s="198" t="s">
        <v>605</v>
      </c>
      <c r="T2" s="201"/>
      <c r="U2" s="101"/>
      <c r="V2" s="196" t="s">
        <v>602</v>
      </c>
      <c r="W2" s="200"/>
      <c r="X2" s="49"/>
      <c r="Y2" s="49"/>
      <c r="Z2" s="197"/>
      <c r="AA2" s="198"/>
      <c r="AB2" s="199"/>
      <c r="AC2" s="196" t="s">
        <v>605</v>
      </c>
      <c r="AD2" s="199"/>
      <c r="AE2" s="201"/>
      <c r="AF2" s="207"/>
      <c r="AG2" s="241" t="s">
        <v>603</v>
      </c>
      <c r="AH2" s="303" t="s">
        <v>690</v>
      </c>
      <c r="AI2" s="49"/>
      <c r="AJ2" s="49"/>
      <c r="AK2" s="197"/>
      <c r="AL2" s="198"/>
      <c r="AM2" s="201"/>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row>
    <row r="3" spans="1:78" s="136" customFormat="1" ht="29.25" customHeight="1" thickTop="1">
      <c r="A3" s="1019" t="s">
        <v>1028</v>
      </c>
      <c r="B3" s="1289" t="str">
        <f>K3</f>
        <v>EDTA</v>
      </c>
      <c r="C3" s="1289" t="str">
        <f t="shared" ref="C3:H3" si="0">L3</f>
        <v>Phosphoric acid</v>
      </c>
      <c r="D3" s="1289" t="str">
        <f t="shared" si="0"/>
        <v xml:space="preserve">L-Glutamic acid </v>
      </c>
      <c r="E3" s="1289" t="str">
        <f t="shared" si="0"/>
        <v>Acetic acid</v>
      </c>
      <c r="F3" s="1289" t="str">
        <f t="shared" si="0"/>
        <v>Ammonia</v>
      </c>
      <c r="G3" s="1289" t="str">
        <f t="shared" si="0"/>
        <v>HCl</v>
      </c>
      <c r="H3" s="1290" t="str">
        <f t="shared" si="0"/>
        <v>Carbonic acid</v>
      </c>
      <c r="I3" s="564"/>
      <c r="J3" s="365" t="s">
        <v>593</v>
      </c>
      <c r="K3" s="263" t="s">
        <v>330</v>
      </c>
      <c r="L3" s="263" t="s">
        <v>125</v>
      </c>
      <c r="M3" s="263" t="s">
        <v>442</v>
      </c>
      <c r="N3" s="263" t="s">
        <v>127</v>
      </c>
      <c r="O3" s="263" t="s">
        <v>128</v>
      </c>
      <c r="P3" s="263" t="s">
        <v>326</v>
      </c>
      <c r="Q3" s="263" t="s">
        <v>159</v>
      </c>
      <c r="R3" s="269" t="s">
        <v>641</v>
      </c>
      <c r="S3" s="270" t="s">
        <v>642</v>
      </c>
      <c r="T3" s="754" t="s">
        <v>607</v>
      </c>
      <c r="U3" s="31" t="s">
        <v>593</v>
      </c>
      <c r="V3" s="231" t="str">
        <f t="shared" ref="V3:AB4" si="1">IF(K3="","",K3)</f>
        <v>EDTA</v>
      </c>
      <c r="W3" s="231" t="str">
        <f t="shared" si="1"/>
        <v>Phosphoric acid</v>
      </c>
      <c r="X3" s="231" t="str">
        <f t="shared" si="1"/>
        <v xml:space="preserve">L-Glutamic acid </v>
      </c>
      <c r="Y3" s="231" t="str">
        <f t="shared" si="1"/>
        <v>Acetic acid</v>
      </c>
      <c r="Z3" s="231" t="str">
        <f t="shared" si="1"/>
        <v>Ammonia</v>
      </c>
      <c r="AA3" s="231" t="str">
        <f t="shared" si="1"/>
        <v>HCl</v>
      </c>
      <c r="AB3" s="231" t="str">
        <f t="shared" si="1"/>
        <v>Carbonic acid</v>
      </c>
      <c r="AC3" s="193" t="str">
        <f>R3</f>
        <v>Strong ACID</v>
      </c>
      <c r="AD3" s="194" t="str">
        <f>S3</f>
        <v>Strong BASE</v>
      </c>
      <c r="AE3" s="195" t="str">
        <f>T3</f>
        <v>Carbonic ac.</v>
      </c>
      <c r="AF3" s="30" t="s">
        <v>593</v>
      </c>
      <c r="AG3" s="212" t="str">
        <f>IF(VLOOKUP(K$2,Database!$B$22:$N$301,2)="","",VLOOKUP(K$2,Database!$B$22:$N$301,2))</f>
        <v>EDTA</v>
      </c>
      <c r="AH3" s="212" t="str">
        <f>IF(VLOOKUP(L$2,Database!$B$22:$N$301,2)="","",VLOOKUP(L$2,Database!$B$22:$N$301,2))</f>
        <v>Phosphoric acid</v>
      </c>
      <c r="AI3" s="212" t="str">
        <f>IF(VLOOKUP(M$2,Database!$B$22:$N$301,2)="","",VLOOKUP(M$2,Database!$B$22:$N$301,2))</f>
        <v xml:space="preserve">L-Glutamic acid </v>
      </c>
      <c r="AJ3" s="212" t="str">
        <f>IF(VLOOKUP(N$2,Database!$B$22:$N$301,2)="","",VLOOKUP(N$2,Database!$B$22:$N$301,2))</f>
        <v>Acetic acid</v>
      </c>
      <c r="AK3" s="212" t="str">
        <f>IF(VLOOKUP(O$2,Database!$B$22:$N$301,2)="","",VLOOKUP(O$2,Database!$B$22:$N$301,2))</f>
        <v>Ammonia</v>
      </c>
      <c r="AL3" s="212" t="str">
        <f>IF(VLOOKUP(P$2,Database!$B$22:$N$301,2)="","",VLOOKUP(P$2,Database!$B$22:$N$301,2))</f>
        <v>HCl</v>
      </c>
      <c r="AM3" s="233" t="str">
        <f>IF(VLOOKUP(Q$2,Database!$B$22:$N$301,2)="","",VLOOKUP(Q$2,Database!$B$22:$N$301,2))</f>
        <v>Carbonic acid</v>
      </c>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c r="BW3" s="135"/>
      <c r="BX3" s="135"/>
      <c r="BY3" s="135"/>
      <c r="BZ3" s="135"/>
    </row>
    <row r="4" spans="1:78" ht="15" customHeight="1" thickBot="1">
      <c r="A4" s="1272" t="s">
        <v>332</v>
      </c>
      <c r="B4" s="1291"/>
      <c r="C4" s="1293"/>
      <c r="D4" s="1293"/>
      <c r="E4" s="1293"/>
      <c r="F4" s="1295"/>
      <c r="G4" s="1293"/>
      <c r="H4" s="1296"/>
      <c r="I4" s="564"/>
      <c r="J4" s="222" t="s">
        <v>594</v>
      </c>
      <c r="K4" s="1218">
        <v>-4</v>
      </c>
      <c r="L4" s="1218">
        <v>-3</v>
      </c>
      <c r="M4" s="1218">
        <v>-2</v>
      </c>
      <c r="N4" s="1218">
        <v>-1</v>
      </c>
      <c r="O4" s="1218">
        <v>0</v>
      </c>
      <c r="P4" s="1218">
        <v>-1</v>
      </c>
      <c r="Q4" s="1218">
        <v>-2</v>
      </c>
      <c r="R4" s="1219">
        <v>-1</v>
      </c>
      <c r="S4" s="1220">
        <v>-1</v>
      </c>
      <c r="T4" s="1221">
        <v>-2</v>
      </c>
      <c r="U4" s="753" t="s">
        <v>594</v>
      </c>
      <c r="V4" s="692">
        <f t="shared" si="1"/>
        <v>-4</v>
      </c>
      <c r="W4" s="371">
        <f t="shared" ref="W4:AB4" si="2">IF(L4="","",L4)</f>
        <v>-3</v>
      </c>
      <c r="X4" s="371">
        <f t="shared" si="2"/>
        <v>-2</v>
      </c>
      <c r="Y4" s="371">
        <f t="shared" si="2"/>
        <v>-1</v>
      </c>
      <c r="Z4" s="371">
        <f t="shared" si="2"/>
        <v>0</v>
      </c>
      <c r="AA4" s="371">
        <f t="shared" si="2"/>
        <v>-1</v>
      </c>
      <c r="AB4" s="371">
        <f t="shared" si="2"/>
        <v>-2</v>
      </c>
      <c r="AC4" s="371">
        <f>IF(R4="","",R4)</f>
        <v>-1</v>
      </c>
      <c r="AD4" s="371">
        <f>IF(S4="","",S4)</f>
        <v>-1</v>
      </c>
      <c r="AE4" s="371">
        <f>IF(T4="","",T4)</f>
        <v>-2</v>
      </c>
      <c r="AF4" s="222" t="s">
        <v>604</v>
      </c>
      <c r="AG4" s="235">
        <f>IF(VLOOKUP(K$2,Database!$B$22:$N$301,3)="","",VLOOKUP(K$2,Database!$B$22:$N$301,3))</f>
        <v>-4</v>
      </c>
      <c r="AH4" s="235">
        <f>IF(VLOOKUP(L$2,Database!$B$22:$N$301,3)="","",VLOOKUP(L$2,Database!$B$22:$N$301,3))</f>
        <v>-3</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-1</v>
      </c>
      <c r="AM4" s="242">
        <f>IF(VLOOKUP(Q$2,Database!$B$22:$N$301,3)="","",VLOOKUP(Q$2,Database!$B$22:$N$301,3))</f>
        <v>-2</v>
      </c>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15" customHeight="1" thickBot="1">
      <c r="A5" s="1273" t="s">
        <v>333</v>
      </c>
      <c r="B5" s="796"/>
      <c r="C5" s="797"/>
      <c r="D5" s="797"/>
      <c r="E5" s="1294"/>
      <c r="F5" s="797"/>
      <c r="G5" s="1294"/>
      <c r="H5" s="798"/>
      <c r="I5" s="564"/>
      <c r="J5" s="191" t="s">
        <v>635</v>
      </c>
      <c r="K5" s="258">
        <v>-0.21</v>
      </c>
      <c r="L5" s="258">
        <v>2.1480000000000001</v>
      </c>
      <c r="M5" s="258">
        <v>2.23</v>
      </c>
      <c r="N5" s="258">
        <v>4.7569999999999997</v>
      </c>
      <c r="O5" s="258">
        <v>9.2439999999999998</v>
      </c>
      <c r="P5" s="258">
        <v>-7</v>
      </c>
      <c r="Q5" s="258">
        <v>6.3520000000000003</v>
      </c>
      <c r="R5" s="1212">
        <v>-6</v>
      </c>
      <c r="S5" s="268">
        <v>15.744999999999999</v>
      </c>
      <c r="T5" s="1213">
        <v>6.3520000000000003</v>
      </c>
      <c r="U5" s="35" t="s">
        <v>487</v>
      </c>
      <c r="V5" s="102">
        <f t="shared" ref="V5:AB5" si="3">IF(K5="","",IF(K6="",10^K5,(IF(K7="",10^K6,(IF(K8="",10^K7,(IF(K9="",10^K8,(IF(K10="",10^K9,10^K10))))))))))</f>
        <v>107151930523.76077</v>
      </c>
      <c r="W5" s="106">
        <f t="shared" si="3"/>
        <v>2238721138568.3457</v>
      </c>
      <c r="X5" s="106">
        <f t="shared" si="3"/>
        <v>8912509381.3374634</v>
      </c>
      <c r="Y5" s="106">
        <f t="shared" si="3"/>
        <v>57147.863667186728</v>
      </c>
      <c r="Z5" s="106">
        <f t="shared" si="3"/>
        <v>1753880501.8417609</v>
      </c>
      <c r="AA5" s="106">
        <f t="shared" si="3"/>
        <v>9.9999999999999995E-8</v>
      </c>
      <c r="AB5" s="103">
        <f t="shared" si="3"/>
        <v>21330449131.465843</v>
      </c>
      <c r="AC5" s="70">
        <f>IF(R5="","",IF(R6="",10^R5,10^R6))</f>
        <v>9.9999999999999995E-7</v>
      </c>
      <c r="AD5" s="203">
        <f>IF(S5="","",IF(S6="",10^S5,10^S6))</f>
        <v>5559042572704029</v>
      </c>
      <c r="AE5" s="109">
        <f>IF(T5="","",IF(T6="",10^T5,10^T6))</f>
        <v>21330449131.465843</v>
      </c>
      <c r="AF5" s="190" t="s">
        <v>581</v>
      </c>
      <c r="AG5" s="243">
        <f>IF(VLOOKUP(K$2,Database!$B$22:$N$301,4)="","",VLOOKUP(K$2,Database!$B$22:$N$301,4))</f>
        <v>-0.21</v>
      </c>
      <c r="AH5" s="366">
        <f>IF(VLOOKUP(L$2,Database!$B$22:$N$301,4)="","",VLOOKUP(L$2,Database!$B$22:$N$301,4))</f>
        <v>2.1480000000000001</v>
      </c>
      <c r="AI5" s="366">
        <f>IF(VLOOKUP(M$2,Database!$B$22:$N$301,4)="","",VLOOKUP(M$2,Database!$B$22:$N$301,4))</f>
        <v>2.23</v>
      </c>
      <c r="AJ5" s="366">
        <f>IF(VLOOKUP(N$2,Database!$B$22:$N$301,4)="","",VLOOKUP(N$2,Database!$B$22:$N$301,4))</f>
        <v>4.7569999999999997</v>
      </c>
      <c r="AK5" s="366">
        <f>IF(VLOOKUP(O$2,Database!$B$22:$N$301,4)="","",VLOOKUP(O$2,Database!$B$22:$N$301,4))</f>
        <v>9.2439999999999998</v>
      </c>
      <c r="AL5" s="366">
        <f>IF(VLOOKUP(P$2,Database!$B$22:$N$301,4)="","",VLOOKUP(P$2,Database!$B$22:$N$301,4))</f>
        <v>-7</v>
      </c>
      <c r="AM5" s="367">
        <f>IF(VLOOKUP(Q$2,Database!$B$22:$N$301,4)="","",VLOOKUP(Q$2,Database!$B$22:$N$301,4))</f>
        <v>6.3520000000000003</v>
      </c>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row>
    <row r="6" spans="1:78" ht="15" customHeight="1" thickBot="1">
      <c r="A6" s="1273" t="s">
        <v>888</v>
      </c>
      <c r="B6" s="796"/>
      <c r="C6" s="797"/>
      <c r="D6" s="1294"/>
      <c r="E6" s="799"/>
      <c r="F6" s="799"/>
      <c r="G6" s="799"/>
      <c r="H6" s="1297"/>
      <c r="I6" s="564"/>
      <c r="J6" s="191" t="s">
        <v>636</v>
      </c>
      <c r="K6" s="258">
        <v>1.5</v>
      </c>
      <c r="L6" s="258">
        <v>7.1989999999999998</v>
      </c>
      <c r="M6" s="258">
        <v>4.42</v>
      </c>
      <c r="N6" s="258" t="s">
        <v>588</v>
      </c>
      <c r="O6" s="258" t="s">
        <v>588</v>
      </c>
      <c r="P6" s="258" t="s">
        <v>588</v>
      </c>
      <c r="Q6" s="258">
        <v>10.329000000000001</v>
      </c>
      <c r="R6" s="1214"/>
      <c r="S6" s="1215"/>
      <c r="T6" s="1216">
        <v>10.329000000000001</v>
      </c>
      <c r="U6" s="35" t="s">
        <v>489</v>
      </c>
      <c r="V6" s="105">
        <f t="shared" ref="V6:AB6" si="4">IF(K6="","",IF(K7="",V5*10^K5,(IF(K8="",V5*10^K6,(IF(K9="",V5*10^K7,(IF(K10="",V5*10^K8,V5*10^K9))))))))</f>
        <v>6.0255958607435917E+17</v>
      </c>
      <c r="W6" s="106">
        <f t="shared" si="4"/>
        <v>3.539973410834362E+19</v>
      </c>
      <c r="X6" s="106">
        <f t="shared" si="4"/>
        <v>234422881531992.5</v>
      </c>
      <c r="Y6" s="106" t="str">
        <f t="shared" si="4"/>
        <v/>
      </c>
      <c r="Z6" s="106" t="str">
        <f t="shared" si="4"/>
        <v/>
      </c>
      <c r="AA6" s="106" t="str">
        <f t="shared" si="4"/>
        <v/>
      </c>
      <c r="AB6" s="107">
        <f t="shared" si="4"/>
        <v>4.7973344863669224E+16</v>
      </c>
      <c r="AC6" s="70" t="str">
        <f>IF(R6="","",AC5*10^R5)</f>
        <v/>
      </c>
      <c r="AD6" s="70" t="str">
        <f>IF(S6="","",AD5*10^S5)</f>
        <v/>
      </c>
      <c r="AE6" s="109">
        <f>IF(T6="","",AE5*10^T5)</f>
        <v>4.7973344863669224E+16</v>
      </c>
      <c r="AF6" s="191" t="s">
        <v>582</v>
      </c>
      <c r="AG6" s="236">
        <f>IF(VLOOKUP(K$2,Database!$B$22:$N$301,5)="","",VLOOKUP(K$2,Database!$B$22:$N$301,5))</f>
        <v>1.5</v>
      </c>
      <c r="AH6" s="237">
        <f>IF(VLOOKUP(L$2,Database!$B$22:$N$301,5)="","",VLOOKUP(L$2,Database!$B$22:$N$301,5))</f>
        <v>7.1989999999999998</v>
      </c>
      <c r="AI6" s="237">
        <f>IF(VLOOKUP(M$2,Database!$B$22:$N$301,5)="","",VLOOKUP(M$2,Database!$B$22:$N$301,5))</f>
        <v>4.42</v>
      </c>
      <c r="AJ6" s="237" t="str">
        <f>IF(VLOOKUP(N$2,Database!$B$22:$N$301,5)="","",VLOOKUP(N$2,Database!$B$22:$N$301,5))</f>
        <v/>
      </c>
      <c r="AK6" s="237" t="str">
        <f>IF(VLOOKUP(O$2,Database!$B$22:$N$301,5)="","",VLOOKUP(O$2,Database!$B$22:$N$301,5))</f>
        <v/>
      </c>
      <c r="AL6" s="237" t="str">
        <f>IF(VLOOKUP(P$2,Database!$B$22:$N$301,5)="","",VLOOKUP(P$2,Database!$B$22:$N$301,5))</f>
        <v/>
      </c>
      <c r="AM6" s="238">
        <f>IF(VLOOKUP(Q$2,Database!$B$22:$N$301,5)="","",VLOOKUP(Q$2,Database!$B$22:$N$301,5))</f>
        <v>10.329000000000001</v>
      </c>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row>
    <row r="7" spans="1:78" ht="15" customHeight="1" thickBot="1">
      <c r="A7" s="1273" t="s">
        <v>889</v>
      </c>
      <c r="B7" s="796"/>
      <c r="C7" s="1294">
        <v>0.05</v>
      </c>
      <c r="D7" s="797"/>
      <c r="E7" s="799"/>
      <c r="F7" s="799"/>
      <c r="G7" s="799"/>
      <c r="H7" s="800"/>
      <c r="I7" s="564"/>
      <c r="J7" s="191" t="s">
        <v>637</v>
      </c>
      <c r="K7" s="258">
        <v>2.21</v>
      </c>
      <c r="L7" s="258">
        <v>12.35</v>
      </c>
      <c r="M7" s="258">
        <v>9.9499999999999993</v>
      </c>
      <c r="N7" s="258" t="s">
        <v>588</v>
      </c>
      <c r="O7" s="258" t="s">
        <v>588</v>
      </c>
      <c r="P7" s="258" t="s">
        <v>588</v>
      </c>
      <c r="Q7" s="260" t="s">
        <v>588</v>
      </c>
      <c r="R7" s="1222"/>
      <c r="S7" s="1223"/>
      <c r="T7" s="1224"/>
      <c r="U7" s="104" t="s">
        <v>491</v>
      </c>
      <c r="V7" s="105">
        <f t="shared" ref="V7:AB7" si="5">IF(K7="","",IF(K8="",V6*10^K5,(IF(K9="",V6*10^K6,(IF(K10="",V6*10^K7,V6*10^K8))))))</f>
        <v>7.7624711662869401E+20</v>
      </c>
      <c r="W7" s="106">
        <f t="shared" si="5"/>
        <v>4.9773708497893867E+21</v>
      </c>
      <c r="X7" s="106">
        <f t="shared" si="5"/>
        <v>3.9810717055349776E+16</v>
      </c>
      <c r="Y7" s="106" t="str">
        <f t="shared" si="5"/>
        <v/>
      </c>
      <c r="Z7" s="106" t="str">
        <f t="shared" si="5"/>
        <v/>
      </c>
      <c r="AA7" s="106" t="str">
        <f t="shared" si="5"/>
        <v/>
      </c>
      <c r="AB7" s="107" t="str">
        <f t="shared" si="5"/>
        <v/>
      </c>
      <c r="AC7" s="106"/>
      <c r="AD7" s="106"/>
      <c r="AE7" s="109"/>
      <c r="AF7" s="191" t="s">
        <v>583</v>
      </c>
      <c r="AG7" s="236">
        <f>IF(VLOOKUP(K$2,Database!$B$22:$N$301,6)="","",VLOOKUP(K$2,Database!$B$22:$N$301,6))</f>
        <v>2.21</v>
      </c>
      <c r="AH7" s="237">
        <f>IF(VLOOKUP(L$2,Database!$B$22:$N$301,6)="","",VLOOKUP(L$2,Database!$B$22:$N$301,6))</f>
        <v>12.35</v>
      </c>
      <c r="AI7" s="237">
        <f>IF(VLOOKUP(M$2,Database!$B$22:$N$301,6)="","",VLOOKUP(M$2,Database!$B$22:$N$301,6))</f>
        <v>9.9499999999999993</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row>
    <row r="8" spans="1:78" ht="15" customHeight="1" thickBot="1">
      <c r="A8" s="1273" t="s">
        <v>890</v>
      </c>
      <c r="B8" s="1292"/>
      <c r="C8" s="799"/>
      <c r="D8" s="799"/>
      <c r="E8" s="801"/>
      <c r="F8" s="801"/>
      <c r="G8" s="801"/>
      <c r="H8" s="800"/>
      <c r="I8" s="564"/>
      <c r="J8" s="191" t="s">
        <v>638</v>
      </c>
      <c r="K8" s="258">
        <v>3.11</v>
      </c>
      <c r="L8" s="258" t="s">
        <v>588</v>
      </c>
      <c r="M8" s="258" t="s">
        <v>588</v>
      </c>
      <c r="N8" s="258" t="s">
        <v>588</v>
      </c>
      <c r="O8" s="258" t="s">
        <v>588</v>
      </c>
      <c r="P8" s="258" t="s">
        <v>588</v>
      </c>
      <c r="Q8" s="260" t="s">
        <v>588</v>
      </c>
      <c r="R8" s="750"/>
      <c r="S8" s="750"/>
      <c r="T8" s="755"/>
      <c r="U8" s="104" t="s">
        <v>493</v>
      </c>
      <c r="V8" s="105">
        <f t="shared" ref="V8:AB8" si="6">IF(K8="","",IF(K9="",V7*10^K5,(IF(K10="",V7*10^K6,V7*10^K7))))</f>
        <v>1.2589254117941712E+23</v>
      </c>
      <c r="W8" s="106" t="str">
        <f t="shared" si="6"/>
        <v/>
      </c>
      <c r="X8" s="106" t="str">
        <f t="shared" si="6"/>
        <v/>
      </c>
      <c r="Y8" s="106" t="str">
        <f t="shared" si="6"/>
        <v/>
      </c>
      <c r="Z8" s="106" t="str">
        <f t="shared" si="6"/>
        <v/>
      </c>
      <c r="AA8" s="106" t="str">
        <f t="shared" si="6"/>
        <v/>
      </c>
      <c r="AB8" s="107" t="str">
        <f t="shared" si="6"/>
        <v/>
      </c>
      <c r="AC8" s="106"/>
      <c r="AD8" s="106"/>
      <c r="AE8" s="108"/>
      <c r="AF8" s="191" t="s">
        <v>584</v>
      </c>
      <c r="AG8" s="236">
        <f>IF(VLOOKUP(K$2,Database!$B$22:$N$301,7)="","",VLOOKUP(K$2,Database!$B$22:$N$301,7))</f>
        <v>3.11</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row>
    <row r="9" spans="1:78" ht="15" customHeight="1">
      <c r="A9" s="1273" t="s">
        <v>891</v>
      </c>
      <c r="B9" s="796"/>
      <c r="C9" s="799"/>
      <c r="D9" s="799"/>
      <c r="E9" s="801"/>
      <c r="F9" s="801"/>
      <c r="G9" s="801"/>
      <c r="H9" s="800"/>
      <c r="I9" s="1262" t="s">
        <v>348</v>
      </c>
      <c r="J9" s="191" t="s">
        <v>639</v>
      </c>
      <c r="K9" s="258">
        <v>6.75</v>
      </c>
      <c r="L9" s="258" t="s">
        <v>588</v>
      </c>
      <c r="M9" s="258" t="s">
        <v>588</v>
      </c>
      <c r="N9" s="258" t="s">
        <v>588</v>
      </c>
      <c r="O9" s="258" t="s">
        <v>588</v>
      </c>
      <c r="P9" s="258" t="s">
        <v>588</v>
      </c>
      <c r="Q9" s="260" t="s">
        <v>588</v>
      </c>
      <c r="R9" s="750"/>
      <c r="S9" s="750"/>
      <c r="T9" s="755"/>
      <c r="U9" s="104" t="s">
        <v>495</v>
      </c>
      <c r="V9" s="105">
        <f t="shared" ref="V9:AB9" si="7">IF(K9="","",IF(K10="",V8*10^K5,V8*10^K6))</f>
        <v>3.9810717055349867E+24</v>
      </c>
      <c r="W9" s="106" t="str">
        <f t="shared" si="7"/>
        <v/>
      </c>
      <c r="X9" s="106" t="str">
        <f t="shared" si="7"/>
        <v/>
      </c>
      <c r="Y9" s="106" t="str">
        <f t="shared" si="7"/>
        <v/>
      </c>
      <c r="Z9" s="106" t="str">
        <f t="shared" si="7"/>
        <v/>
      </c>
      <c r="AA9" s="106" t="str">
        <f t="shared" si="7"/>
        <v/>
      </c>
      <c r="AB9" s="107" t="str">
        <f t="shared" si="7"/>
        <v/>
      </c>
      <c r="AC9" s="106"/>
      <c r="AD9" s="106"/>
      <c r="AE9" s="108"/>
      <c r="AF9" s="191" t="s">
        <v>585</v>
      </c>
      <c r="AG9" s="236">
        <f>IF(VLOOKUP(K$2,Database!$B$22:$N$301,8)="","",VLOOKUP(K$2,Database!$B$22:$N$301,8))</f>
        <v>6.75</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row>
    <row r="10" spans="1:78" ht="15" customHeight="1" thickBot="1">
      <c r="A10" s="1273" t="s">
        <v>892</v>
      </c>
      <c r="B10" s="802"/>
      <c r="C10" s="1287"/>
      <c r="D10" s="1287"/>
      <c r="E10" s="1287"/>
      <c r="F10" s="1287"/>
      <c r="G10" s="1287"/>
      <c r="H10" s="1288"/>
      <c r="I10" s="1275" t="s">
        <v>345</v>
      </c>
      <c r="J10" s="192" t="s">
        <v>640</v>
      </c>
      <c r="K10" s="258">
        <v>11.03</v>
      </c>
      <c r="L10" s="258" t="s">
        <v>588</v>
      </c>
      <c r="M10" s="258" t="s">
        <v>588</v>
      </c>
      <c r="N10" s="258" t="s">
        <v>588</v>
      </c>
      <c r="O10" s="258" t="s">
        <v>588</v>
      </c>
      <c r="P10" s="258" t="s">
        <v>588</v>
      </c>
      <c r="Q10" s="260" t="s">
        <v>588</v>
      </c>
      <c r="R10" s="750"/>
      <c r="S10" s="750"/>
      <c r="T10" s="755"/>
      <c r="U10" s="1230" t="s">
        <v>497</v>
      </c>
      <c r="V10" s="189">
        <f t="shared" ref="V10:AB10" si="8">IF(K10="","",V9*10^K5)</f>
        <v>2.4547089156850394E+24</v>
      </c>
      <c r="W10" s="106" t="str">
        <f t="shared" si="8"/>
        <v/>
      </c>
      <c r="X10" s="106" t="str">
        <f t="shared" si="8"/>
        <v/>
      </c>
      <c r="Y10" s="106" t="str">
        <f t="shared" si="8"/>
        <v/>
      </c>
      <c r="Z10" s="106" t="str">
        <f t="shared" si="8"/>
        <v/>
      </c>
      <c r="AA10" s="106" t="str">
        <f t="shared" si="8"/>
        <v/>
      </c>
      <c r="AB10" s="107" t="str">
        <f t="shared" si="8"/>
        <v/>
      </c>
      <c r="AC10" s="106"/>
      <c r="AD10" s="106"/>
      <c r="AE10" s="108"/>
      <c r="AF10" s="192" t="s">
        <v>586</v>
      </c>
      <c r="AG10" s="236">
        <f>IF(VLOOKUP(K$2,Database!$B$22:$N$301,9)="","",VLOOKUP(K$2,Database!$B$22:$N$301,9))</f>
        <v>11.03</v>
      </c>
      <c r="AH10" s="237" t="str">
        <f>IF(VLOOKUP(L$2,Database!$B$22:$N$301,9)="","",VLOOKUP(L$2,Database!$B$22:$N$301,9))</f>
        <v/>
      </c>
      <c r="AI10" s="237" t="str">
        <f>IF(VLOOKUP(M$2,Database!$B$22:$N$301,9)="","",VLOOKUP(M$2,Database!$B$22:$N$301,9))</f>
        <v/>
      </c>
      <c r="AJ10" s="237" t="str">
        <f>IF(VLOOKUP(N$2,Database!$B$22:$N$301,9)="","",VLOOKUP(N$2,Database!$B$22:$N$301,9))</f>
        <v/>
      </c>
      <c r="AK10" s="237" t="str">
        <f>IF(VLOOKUP(O$2,Database!$B$22:$N$301,9)="","",VLOOKUP(O$2,Database!$B$22:$N$301,9))</f>
        <v/>
      </c>
      <c r="AL10" s="237" t="str">
        <f>IF(VLOOKUP(P$2,Database!$B$22:$N$301,9)="","",VLOOKUP(P$2,Database!$B$22:$N$301,9))</f>
        <v/>
      </c>
      <c r="AM10" s="238" t="str">
        <f>IF(VLOOKUP(Q$2,Database!$B$22:$N$301,9)="","",VLOOKUP(Q$2,Database!$B$22:$N$301,9))</f>
        <v/>
      </c>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row>
    <row r="11" spans="1:78" ht="15" customHeight="1" thickTop="1" thickBot="1">
      <c r="A11" s="803" t="s">
        <v>893</v>
      </c>
      <c r="B11" s="808">
        <f>SUM(B4:B10)</f>
        <v>0</v>
      </c>
      <c r="C11" s="809">
        <f t="shared" ref="C11:H11" si="9">SUM(C4:C10)</f>
        <v>0.05</v>
      </c>
      <c r="D11" s="809">
        <f t="shared" si="9"/>
        <v>0</v>
      </c>
      <c r="E11" s="809">
        <f t="shared" si="9"/>
        <v>0</v>
      </c>
      <c r="F11" s="809">
        <f t="shared" si="9"/>
        <v>0</v>
      </c>
      <c r="G11" s="809">
        <f t="shared" si="9"/>
        <v>0</v>
      </c>
      <c r="H11" s="810">
        <f t="shared" si="9"/>
        <v>0</v>
      </c>
      <c r="I11" s="806">
        <f>SUM(B11:H11)</f>
        <v>0.05</v>
      </c>
      <c r="J11" s="116" t="s">
        <v>335</v>
      </c>
      <c r="K11" s="1225">
        <v>13.997</v>
      </c>
      <c r="L11" s="1226"/>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372"/>
      <c r="AG11" s="374"/>
      <c r="AH11" s="374"/>
      <c r="AI11" s="374"/>
      <c r="AJ11" s="374"/>
      <c r="AK11" s="374"/>
      <c r="AL11" s="374"/>
      <c r="AM11" s="374"/>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row>
    <row r="12" spans="1:78" ht="15" customHeight="1" thickTop="1">
      <c r="A12" s="807" t="s">
        <v>894</v>
      </c>
      <c r="B12" s="808">
        <f>B5+2*B6+3*B7+4*B8+5*B9+6*B10</f>
        <v>0</v>
      </c>
      <c r="C12" s="809">
        <f t="shared" ref="C12:H12" si="10">C5+2*C6+3*C7+4*C8+5*C9+6*C10</f>
        <v>0.15000000000000002</v>
      </c>
      <c r="D12" s="809">
        <f t="shared" si="10"/>
        <v>0</v>
      </c>
      <c r="E12" s="809">
        <f t="shared" si="10"/>
        <v>0</v>
      </c>
      <c r="F12" s="809">
        <f t="shared" si="10"/>
        <v>0</v>
      </c>
      <c r="G12" s="809">
        <f t="shared" si="10"/>
        <v>0</v>
      </c>
      <c r="H12" s="810">
        <f t="shared" si="10"/>
        <v>0</v>
      </c>
      <c r="I12" s="811">
        <f>SUM(B12:H12)</f>
        <v>0.15000000000000002</v>
      </c>
      <c r="J12" s="934"/>
      <c r="K12" s="372"/>
      <c r="L12" s="372"/>
      <c r="M12" s="372"/>
      <c r="N12" s="372"/>
      <c r="O12" s="372"/>
      <c r="P12" s="372"/>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row>
    <row r="13" spans="1:78" ht="15" customHeight="1" thickBot="1">
      <c r="A13" s="812" t="s">
        <v>895</v>
      </c>
      <c r="B13" s="813">
        <f>K4*B4+(K4+1)*B5+(K4+2)*B6+(K4+3)*B7+(K4+4)*B8+(K4+5)*B9+(K4+6)*B10</f>
        <v>0</v>
      </c>
      <c r="C13" s="814">
        <f t="shared" ref="C13:H13" si="11">L4*C4+(L4+1)*C5+(L4+2)*C6+(L4+3)*C7+(L4+4)*C8+(L4+5)*C9+(L4+6)*C10</f>
        <v>0</v>
      </c>
      <c r="D13" s="814">
        <f t="shared" si="11"/>
        <v>0</v>
      </c>
      <c r="E13" s="814">
        <f t="shared" si="11"/>
        <v>0</v>
      </c>
      <c r="F13" s="809">
        <f t="shared" si="11"/>
        <v>0</v>
      </c>
      <c r="G13" s="809">
        <f t="shared" si="11"/>
        <v>0</v>
      </c>
      <c r="H13" s="810">
        <f t="shared" si="11"/>
        <v>0</v>
      </c>
      <c r="I13" s="813">
        <f>SUM(B13:H13)</f>
        <v>0</v>
      </c>
      <c r="J13" s="935"/>
      <c r="K13" s="209"/>
      <c r="L13" s="209"/>
      <c r="M13" s="209"/>
      <c r="N13" s="209"/>
      <c r="O13" s="209"/>
      <c r="P13" s="209"/>
      <c r="Q13" s="26"/>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row>
    <row r="14" spans="1:78" ht="15" customHeight="1" thickTop="1" thickBot="1">
      <c r="A14" s="770" t="s">
        <v>1029</v>
      </c>
      <c r="B14" s="1003" t="str">
        <f>R3</f>
        <v>Strong ACID</v>
      </c>
      <c r="C14" s="1003" t="str">
        <f>S3</f>
        <v>Strong BASE</v>
      </c>
      <c r="D14" s="1004" t="str">
        <f>T3</f>
        <v>Carbonic ac.</v>
      </c>
      <c r="E14" s="1127" t="s">
        <v>348</v>
      </c>
      <c r="F14" s="815"/>
      <c r="G14" s="1041" t="s">
        <v>1035</v>
      </c>
      <c r="H14" s="816"/>
      <c r="I14" s="1055" t="s">
        <v>983</v>
      </c>
      <c r="J14" s="1052"/>
      <c r="K14" s="1053" t="str">
        <f>IF(K17&lt;&gt;K16, "error: K16&gt;&lt;K17","")</f>
        <v/>
      </c>
      <c r="L14" s="1054" t="str">
        <f>IF(K20&lt;&gt;K19, "error: K19&gt;&lt;K20","")</f>
        <v/>
      </c>
      <c r="M14" s="995" t="s">
        <v>984</v>
      </c>
      <c r="N14" s="85"/>
      <c r="O14" s="771" t="s">
        <v>596</v>
      </c>
      <c r="P14" s="772"/>
      <c r="Q14" s="26"/>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row>
    <row r="15" spans="1:78" ht="15" customHeight="1" thickTop="1">
      <c r="A15" s="773" t="s">
        <v>332</v>
      </c>
      <c r="B15" s="774"/>
      <c r="C15" s="775">
        <v>0.1</v>
      </c>
      <c r="D15" s="776"/>
      <c r="E15" s="1128" t="s">
        <v>1122</v>
      </c>
      <c r="F15" s="817" t="s">
        <v>1032</v>
      </c>
      <c r="G15" s="817" t="s">
        <v>608</v>
      </c>
      <c r="H15" s="817" t="s">
        <v>602</v>
      </c>
      <c r="I15" s="1051" t="s">
        <v>995</v>
      </c>
      <c r="J15" s="824" t="s">
        <v>885</v>
      </c>
      <c r="K15" s="825" t="s">
        <v>998</v>
      </c>
      <c r="L15" s="825" t="s">
        <v>887</v>
      </c>
      <c r="M15" s="995" t="s">
        <v>985</v>
      </c>
      <c r="N15" s="113"/>
      <c r="O15" s="777" t="s">
        <v>597</v>
      </c>
      <c r="P15" s="299"/>
      <c r="Q15" s="26"/>
      <c r="R15" s="29"/>
      <c r="S15" s="29"/>
      <c r="T15" s="29"/>
      <c r="U15" s="29"/>
      <c r="V15" s="29"/>
      <c r="W15" s="29"/>
      <c r="X15" s="29"/>
      <c r="Y15" s="112"/>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row>
    <row r="16" spans="1:78" ht="15" customHeight="1">
      <c r="A16" s="773" t="s">
        <v>333</v>
      </c>
      <c r="B16" s="857"/>
      <c r="C16" s="778"/>
      <c r="D16" s="779"/>
      <c r="E16" s="737"/>
      <c r="F16" s="818" t="s">
        <v>610</v>
      </c>
      <c r="G16" s="819" t="s">
        <v>997</v>
      </c>
      <c r="H16" s="820" t="s">
        <v>654</v>
      </c>
      <c r="I16" s="826" t="s">
        <v>883</v>
      </c>
      <c r="J16" s="827">
        <f>IF(I13&lt;0,-I13,0)</f>
        <v>0</v>
      </c>
      <c r="K16" s="828">
        <v>0</v>
      </c>
      <c r="L16" s="829">
        <f>J16+K16</f>
        <v>0</v>
      </c>
      <c r="M16" s="780" t="s">
        <v>313</v>
      </c>
      <c r="N16" s="781">
        <v>0</v>
      </c>
      <c r="O16" s="294" t="s">
        <v>506</v>
      </c>
      <c r="P16" s="295">
        <v>0.50900000000000001</v>
      </c>
      <c r="Q16" s="26"/>
      <c r="R16" s="29"/>
      <c r="S16" s="29"/>
      <c r="T16" s="29"/>
      <c r="U16" s="29"/>
      <c r="V16" s="29"/>
      <c r="W16" s="29"/>
      <c r="X16" s="29"/>
      <c r="Y16" s="112"/>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row>
    <row r="17" spans="1:78" ht="15" customHeight="1" thickBot="1">
      <c r="A17" s="773" t="s">
        <v>876</v>
      </c>
      <c r="B17" s="782"/>
      <c r="C17" s="782"/>
      <c r="D17" s="783"/>
      <c r="E17" s="748" t="s">
        <v>345</v>
      </c>
      <c r="F17" s="821">
        <v>20</v>
      </c>
      <c r="G17" s="822">
        <v>0</v>
      </c>
      <c r="H17" s="823">
        <f>F17+G17</f>
        <v>20</v>
      </c>
      <c r="I17" s="830" t="s">
        <v>884</v>
      </c>
      <c r="J17" s="831">
        <f>IF(I13&gt;0,I13,0)</f>
        <v>0</v>
      </c>
      <c r="K17" s="832">
        <v>0</v>
      </c>
      <c r="L17" s="833">
        <f>J17+K17</f>
        <v>0</v>
      </c>
      <c r="M17" s="116" t="s">
        <v>314</v>
      </c>
      <c r="N17" s="784">
        <v>0</v>
      </c>
      <c r="O17" s="53" t="s">
        <v>507</v>
      </c>
      <c r="P17" s="54">
        <v>0.3</v>
      </c>
      <c r="Q17" s="26"/>
      <c r="R17" s="29"/>
      <c r="S17" s="29"/>
      <c r="T17" s="29"/>
      <c r="U17" s="29"/>
      <c r="V17" s="29"/>
      <c r="W17" s="29"/>
      <c r="X17" s="29"/>
      <c r="Y17" s="112"/>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row>
    <row r="18" spans="1:78" ht="15" customHeight="1" thickTop="1">
      <c r="A18" s="785" t="s">
        <v>877</v>
      </c>
      <c r="B18" s="739">
        <f>SUM(B15:B17)</f>
        <v>0</v>
      </c>
      <c r="C18" s="739">
        <f>SUM(C15:C17)</f>
        <v>0.1</v>
      </c>
      <c r="D18" s="786">
        <f>SUM(D15:D17)</f>
        <v>0</v>
      </c>
      <c r="E18" s="787">
        <f>SUM(B18:D18)</f>
        <v>0.1</v>
      </c>
      <c r="F18" s="727"/>
      <c r="G18" s="1033" t="s">
        <v>1037</v>
      </c>
      <c r="H18" s="744"/>
      <c r="I18" s="759" t="s">
        <v>982</v>
      </c>
      <c r="J18" s="760" t="s">
        <v>885</v>
      </c>
      <c r="K18" s="761" t="s">
        <v>886</v>
      </c>
      <c r="L18" s="761" t="s">
        <v>887</v>
      </c>
      <c r="M18" s="114" t="s">
        <v>613</v>
      </c>
      <c r="N18" s="115"/>
      <c r="O18" s="29"/>
      <c r="P18" s="29"/>
      <c r="Q18" s="26"/>
      <c r="R18" s="29"/>
      <c r="S18" s="29"/>
      <c r="T18" s="29"/>
      <c r="U18" s="29"/>
      <c r="V18" s="29"/>
      <c r="W18" s="29"/>
      <c r="X18" s="29"/>
      <c r="Y18" s="112"/>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row>
    <row r="19" spans="1:78" ht="15.75" customHeight="1">
      <c r="A19" s="785" t="s">
        <v>878</v>
      </c>
      <c r="B19" s="739">
        <f>B16+2*B17</f>
        <v>0</v>
      </c>
      <c r="C19" s="739">
        <f>C16+2*C17</f>
        <v>0</v>
      </c>
      <c r="D19" s="788">
        <f>D16+2*D17</f>
        <v>0</v>
      </c>
      <c r="E19" s="789">
        <f>SUM(B19:D19)</f>
        <v>0</v>
      </c>
      <c r="F19" s="1048" t="s">
        <v>875</v>
      </c>
      <c r="G19" s="1049" t="s">
        <v>994</v>
      </c>
      <c r="H19" s="1050"/>
      <c r="I19" s="762" t="s">
        <v>883</v>
      </c>
      <c r="J19" s="763">
        <f>IF(E20&lt;0,-E20,0)</f>
        <v>0.1</v>
      </c>
      <c r="K19" s="764">
        <v>0</v>
      </c>
      <c r="L19" s="765">
        <f>J19+K19</f>
        <v>0.1</v>
      </c>
      <c r="M19" s="790" t="s">
        <v>614</v>
      </c>
      <c r="N19" s="791">
        <v>0</v>
      </c>
      <c r="O19" s="26"/>
      <c r="P19" s="26"/>
      <c r="Q19" s="26"/>
      <c r="R19" s="29"/>
      <c r="S19" s="29"/>
      <c r="T19" s="29"/>
      <c r="U19" s="29"/>
      <c r="V19" s="29"/>
      <c r="W19" s="29"/>
      <c r="X19" s="29"/>
      <c r="Y19" s="112"/>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row>
    <row r="20" spans="1:78" ht="18" customHeight="1" thickBot="1">
      <c r="A20" s="757" t="s">
        <v>882</v>
      </c>
      <c r="B20" s="742">
        <f>R4*B15+(R4+1)*B16+(R4+2)*B17</f>
        <v>0</v>
      </c>
      <c r="C20" s="742">
        <f>S4*C15+(S4+1)*C16+(S4+2)*C17</f>
        <v>-0.1</v>
      </c>
      <c r="D20" s="758">
        <f>T4*D15+(T4+1)*D16+(T4+2)*D17</f>
        <v>0</v>
      </c>
      <c r="E20" s="742">
        <f>SUM(B20:D20)</f>
        <v>-0.1</v>
      </c>
      <c r="F20" s="792">
        <v>50</v>
      </c>
      <c r="G20" s="793">
        <v>50</v>
      </c>
      <c r="H20" s="745" t="s">
        <v>874</v>
      </c>
      <c r="I20" s="766" t="s">
        <v>884</v>
      </c>
      <c r="J20" s="767">
        <f>IF(E20&gt;0,E20,0)</f>
        <v>0</v>
      </c>
      <c r="K20" s="768">
        <v>0</v>
      </c>
      <c r="L20" s="769">
        <f>J20+K20</f>
        <v>0</v>
      </c>
      <c r="M20" s="202" t="s">
        <v>615</v>
      </c>
      <c r="N20" s="794" t="s">
        <v>1007</v>
      </c>
      <c r="O20" s="26"/>
      <c r="P20" s="26"/>
      <c r="Q20" s="26"/>
      <c r="R20" s="29"/>
      <c r="S20" s="29"/>
      <c r="T20" s="29"/>
      <c r="U20" s="29"/>
      <c r="V20" s="29"/>
      <c r="W20" s="29"/>
      <c r="X20" s="29"/>
      <c r="Y20" s="112"/>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row>
    <row r="21" spans="1:78" ht="20.100000000000001" customHeight="1" thickTop="1">
      <c r="A21" s="795">
        <v>2</v>
      </c>
      <c r="B21" s="26"/>
      <c r="C21" s="26"/>
      <c r="D21" s="26"/>
      <c r="E21" s="26"/>
      <c r="F21" s="26"/>
      <c r="G21" s="26"/>
      <c r="H21" s="26"/>
      <c r="I21" s="26"/>
      <c r="J21" s="26"/>
      <c r="K21" s="26"/>
      <c r="L21" s="26"/>
      <c r="M21" s="26"/>
      <c r="N21" s="26"/>
      <c r="O21" s="26"/>
      <c r="P21" s="26"/>
      <c r="Q21" s="26"/>
      <c r="R21" s="29"/>
      <c r="S21" s="29"/>
      <c r="T21" s="29"/>
      <c r="U21" s="29"/>
      <c r="V21" s="29"/>
      <c r="W21" s="29"/>
      <c r="X21" s="29"/>
      <c r="Y21" s="112"/>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row>
    <row r="22" spans="1:78" ht="20.100000000000001" customHeight="1">
      <c r="A22" s="94" t="s">
        <v>349</v>
      </c>
      <c r="B22" s="26"/>
      <c r="C22" s="26"/>
      <c r="D22" s="26"/>
      <c r="E22" s="26"/>
      <c r="F22" s="26"/>
      <c r="G22" s="26"/>
      <c r="H22" s="26"/>
      <c r="I22" s="26"/>
      <c r="J22" s="26"/>
      <c r="K22" s="26"/>
      <c r="L22" s="26"/>
      <c r="M22" s="26"/>
      <c r="N22" s="1123"/>
      <c r="O22" s="1124" t="s">
        <v>598</v>
      </c>
      <c r="P22" s="1125"/>
      <c r="Q22" s="26"/>
      <c r="R22" s="29"/>
      <c r="S22" s="29"/>
      <c r="T22" s="29"/>
      <c r="U22" s="29"/>
      <c r="V22" s="29"/>
      <c r="W22" s="29"/>
      <c r="X22" s="29"/>
      <c r="Y22" s="112"/>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row>
    <row r="23" spans="1:78" ht="20.100000000000001" customHeight="1">
      <c r="A23" s="2"/>
      <c r="B23" s="26"/>
      <c r="C23" s="26"/>
      <c r="D23" s="26"/>
      <c r="E23" s="26"/>
      <c r="F23" s="26"/>
      <c r="G23" s="26"/>
      <c r="H23" s="26"/>
      <c r="I23" s="26"/>
      <c r="J23" s="26"/>
      <c r="K23" s="26"/>
      <c r="L23" s="26"/>
      <c r="M23" s="26"/>
      <c r="N23" s="300"/>
      <c r="O23" s="315" t="s">
        <v>599</v>
      </c>
      <c r="P23" s="345"/>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row>
    <row r="24" spans="1:78" ht="20.100000000000001" customHeight="1">
      <c r="A24" s="2"/>
      <c r="B24" s="9"/>
      <c r="C24" s="80"/>
      <c r="D24" s="26"/>
      <c r="E24" s="26"/>
      <c r="F24" s="26"/>
      <c r="G24" s="26"/>
      <c r="H24" s="26"/>
      <c r="I24" s="26"/>
      <c r="J24" s="26"/>
      <c r="K24" s="26"/>
      <c r="L24" s="26"/>
      <c r="M24" s="26"/>
      <c r="N24" s="301"/>
      <c r="O24" s="301" t="s">
        <v>600</v>
      </c>
      <c r="P24" s="302"/>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row>
    <row r="25" spans="1:78" ht="20.100000000000001" customHeight="1">
      <c r="A25" s="2"/>
      <c r="B25" s="9"/>
      <c r="C25" s="80"/>
      <c r="D25" s="26"/>
      <c r="E25" s="26"/>
      <c r="F25" s="26"/>
      <c r="G25" s="26"/>
      <c r="H25" s="26"/>
      <c r="I25" s="26"/>
      <c r="J25" s="26"/>
      <c r="K25" s="26"/>
      <c r="L25" s="26"/>
      <c r="M25" s="26"/>
      <c r="N25" s="316"/>
      <c r="O25" s="316" t="s">
        <v>601</v>
      </c>
      <c r="P25" s="317"/>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row>
    <row r="26" spans="1:78" ht="20.100000000000001" customHeight="1">
      <c r="A26" s="2"/>
      <c r="B26" s="9"/>
      <c r="C26" s="80"/>
      <c r="D26" s="26"/>
      <c r="E26" s="26"/>
      <c r="F26" s="26"/>
      <c r="G26" s="26"/>
      <c r="H26" s="26"/>
      <c r="I26" s="26"/>
      <c r="J26" s="26"/>
      <c r="K26" s="26"/>
      <c r="L26" s="26"/>
      <c r="M26" s="26"/>
      <c r="N26" s="730" t="s">
        <v>616</v>
      </c>
      <c r="O26" s="731"/>
      <c r="P26" s="26"/>
      <c r="Q26" s="94"/>
      <c r="R26" s="26"/>
      <c r="S26" s="26"/>
      <c r="T26" s="26"/>
      <c r="U26" s="26"/>
      <c r="V26" s="26"/>
      <c r="W26" s="26"/>
      <c r="X26" s="29"/>
      <c r="Y26" s="112"/>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row>
    <row r="27" spans="1:78" ht="20.100000000000001" customHeight="1">
      <c r="A27" s="2"/>
      <c r="B27" s="26"/>
      <c r="C27" s="26"/>
      <c r="D27" s="26"/>
      <c r="E27" s="26"/>
      <c r="F27" s="26"/>
      <c r="G27" s="26"/>
      <c r="H27" s="26"/>
      <c r="I27" s="26"/>
      <c r="J27" s="26"/>
      <c r="K27" s="26"/>
      <c r="L27" s="26"/>
      <c r="M27" s="26"/>
      <c r="N27" s="730" t="s">
        <v>617</v>
      </c>
      <c r="O27" s="731"/>
      <c r="P27" s="26"/>
      <c r="Q27" s="94"/>
      <c r="R27" s="26"/>
      <c r="S27" s="26"/>
      <c r="T27" s="26"/>
      <c r="U27" s="26"/>
      <c r="V27" s="26"/>
      <c r="W27" s="26"/>
      <c r="X27" s="29"/>
      <c r="Y27" s="112"/>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row>
    <row r="28" spans="1:78" ht="20.100000000000001" customHeight="1">
      <c r="A28" s="2"/>
      <c r="B28" s="9"/>
      <c r="C28" s="26"/>
      <c r="D28" s="26"/>
      <c r="E28" s="26"/>
      <c r="F28" s="26"/>
      <c r="G28" s="26"/>
      <c r="H28" s="26"/>
      <c r="I28" s="26"/>
      <c r="J28" s="26"/>
      <c r="K28" s="26"/>
      <c r="L28" s="26"/>
      <c r="M28" s="26"/>
      <c r="N28" s="733" t="s">
        <v>618</v>
      </c>
      <c r="O28" s="734"/>
      <c r="P28" s="26"/>
      <c r="Q28" s="94"/>
      <c r="R28" s="26"/>
      <c r="S28" s="26"/>
      <c r="T28" s="26"/>
      <c r="U28" s="26"/>
      <c r="V28" s="26"/>
      <c r="W28" s="26"/>
      <c r="X28" s="29"/>
      <c r="Y28" s="112"/>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row>
    <row r="29" spans="1:78" ht="20.100000000000001" customHeight="1">
      <c r="A29" s="2"/>
      <c r="B29" s="9"/>
      <c r="C29" s="26"/>
      <c r="D29" s="26"/>
      <c r="E29" s="26"/>
      <c r="F29" s="26"/>
      <c r="G29" s="26"/>
      <c r="H29" s="26"/>
      <c r="I29" s="26"/>
      <c r="J29" s="26"/>
      <c r="K29" s="26"/>
      <c r="L29" s="26"/>
      <c r="M29" s="26"/>
      <c r="N29" s="730" t="s">
        <v>619</v>
      </c>
      <c r="O29" s="731"/>
      <c r="P29" s="26"/>
      <c r="Q29" s="94"/>
      <c r="R29" s="26"/>
      <c r="S29" s="26"/>
      <c r="T29" s="26"/>
      <c r="U29" s="26"/>
      <c r="V29" s="26"/>
      <c r="W29" s="26"/>
      <c r="X29" s="29"/>
      <c r="Y29" s="112"/>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row>
    <row r="30" spans="1:78" ht="20.100000000000001" customHeight="1">
      <c r="A30" s="9"/>
      <c r="B30" s="9"/>
      <c r="C30" s="26"/>
      <c r="D30" s="26"/>
      <c r="E30" s="26"/>
      <c r="F30" s="26"/>
      <c r="G30" s="26"/>
      <c r="H30" s="26"/>
      <c r="I30" s="26"/>
      <c r="J30" s="26"/>
      <c r="K30" s="26"/>
      <c r="L30" s="26"/>
      <c r="M30" s="26"/>
      <c r="N30" s="730" t="s">
        <v>620</v>
      </c>
      <c r="O30" s="731"/>
      <c r="P30" s="26"/>
      <c r="Q30" s="94"/>
      <c r="R30" s="26"/>
      <c r="S30" s="26"/>
      <c r="T30" s="26"/>
      <c r="U30" s="26"/>
      <c r="V30" s="26"/>
      <c r="W30" s="26"/>
      <c r="X30" s="29"/>
      <c r="Y30" s="112"/>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row>
    <row r="31" spans="1:78" ht="20.100000000000001" customHeight="1">
      <c r="A31" s="119"/>
      <c r="B31" s="120"/>
      <c r="C31" s="26"/>
      <c r="D31" s="26"/>
      <c r="E31" s="26"/>
      <c r="F31" s="26"/>
      <c r="G31" s="26"/>
      <c r="H31" s="26"/>
      <c r="I31" s="26"/>
      <c r="J31" s="26"/>
      <c r="K31" s="26"/>
      <c r="L31" s="26"/>
      <c r="M31" s="26"/>
      <c r="N31" s="26"/>
      <c r="O31" s="26"/>
      <c r="P31" s="26"/>
      <c r="Q31" s="94"/>
      <c r="R31" s="2"/>
      <c r="S31" s="2"/>
      <c r="T31" s="2"/>
      <c r="U31" s="2"/>
      <c r="V31" s="26"/>
      <c r="W31" s="26"/>
      <c r="X31" s="29"/>
      <c r="Y31" s="112"/>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row>
    <row r="32" spans="1:78" ht="20.100000000000001" customHeight="1">
      <c r="A32" s="119"/>
      <c r="B32" s="120"/>
      <c r="C32" s="26"/>
      <c r="D32" s="26"/>
      <c r="E32" s="26"/>
      <c r="F32" s="26"/>
      <c r="G32" s="26"/>
      <c r="H32" s="26"/>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row>
    <row r="33" spans="1:78" ht="20.100000000000001" customHeight="1">
      <c r="A33" s="119"/>
      <c r="B33" s="120"/>
      <c r="C33" s="26"/>
      <c r="D33" s="26"/>
      <c r="E33" s="26"/>
      <c r="F33" s="26"/>
      <c r="G33" s="26"/>
      <c r="H33" s="26"/>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row>
    <row r="34" spans="1:78" ht="20.100000000000001" customHeight="1">
      <c r="A34" s="26"/>
      <c r="B34" s="26"/>
      <c r="C34" s="26"/>
      <c r="D34" s="26"/>
      <c r="E34" s="26"/>
      <c r="F34" s="26"/>
      <c r="G34" s="26"/>
      <c r="H34" s="26"/>
      <c r="I34" s="26"/>
      <c r="J34" s="26"/>
      <c r="K34" s="26"/>
      <c r="L34" s="26"/>
      <c r="M34" s="26"/>
      <c r="N34" s="26"/>
      <c r="O34" s="26"/>
      <c r="P34" s="26"/>
      <c r="Q34" s="26"/>
      <c r="R34" s="2"/>
      <c r="S34" s="2"/>
      <c r="T34" s="2"/>
      <c r="U34" s="2"/>
      <c r="V34" s="26"/>
      <c r="W34" s="26"/>
      <c r="X34" s="29"/>
      <c r="Y34" s="112"/>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row>
    <row r="35" spans="1:78" ht="20.100000000000001" customHeight="1">
      <c r="A35" s="26"/>
      <c r="B35" s="26"/>
      <c r="C35" s="26"/>
      <c r="D35" s="26"/>
      <c r="E35" s="26"/>
      <c r="F35" s="26"/>
      <c r="G35" s="26"/>
      <c r="H35" s="26"/>
      <c r="I35" s="26"/>
      <c r="J35" s="26"/>
      <c r="K35" s="26"/>
      <c r="L35" s="26"/>
      <c r="M35" s="26"/>
      <c r="N35" s="26"/>
      <c r="O35" s="26"/>
      <c r="P35" s="26"/>
      <c r="Q35" s="26"/>
      <c r="R35" s="2"/>
      <c r="S35" s="2"/>
      <c r="T35" s="2"/>
      <c r="U35" s="2"/>
      <c r="V35" s="26"/>
      <c r="W35" s="26"/>
      <c r="X35" s="29"/>
      <c r="Y35" s="112"/>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row>
    <row r="36" spans="1:78" ht="20.100000000000001" customHeight="1">
      <c r="A36" s="26"/>
      <c r="B36" s="26"/>
      <c r="C36" s="26"/>
      <c r="D36" s="26"/>
      <c r="E36" s="26"/>
      <c r="F36" s="26"/>
      <c r="G36" s="26"/>
      <c r="H36" s="26"/>
      <c r="I36" s="26"/>
      <c r="J36" s="26"/>
      <c r="K36" s="26"/>
      <c r="L36" s="26"/>
      <c r="M36" s="26"/>
      <c r="N36" s="26"/>
      <c r="O36" s="26"/>
      <c r="P36" s="26"/>
      <c r="Q36" s="26"/>
      <c r="R36" s="2"/>
      <c r="S36" s="2"/>
      <c r="T36" s="2"/>
      <c r="U36" s="2"/>
      <c r="V36" s="26"/>
      <c r="W36" s="26"/>
      <c r="X36" s="29"/>
      <c r="Y36" s="112"/>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row>
    <row r="37" spans="1:78" ht="20.100000000000001" customHeight="1">
      <c r="A37" s="26"/>
      <c r="B37" s="26"/>
      <c r="C37" s="26"/>
      <c r="D37" s="26"/>
      <c r="E37" s="26"/>
      <c r="F37" s="26"/>
      <c r="G37" s="26"/>
      <c r="H37" s="26"/>
      <c r="I37" s="26"/>
      <c r="J37" s="26"/>
      <c r="K37" s="26"/>
      <c r="L37" s="26"/>
      <c r="M37" s="26"/>
      <c r="N37" s="26"/>
      <c r="O37" s="26"/>
      <c r="P37" s="26"/>
      <c r="Q37" s="26"/>
      <c r="R37" s="2"/>
      <c r="S37" s="2"/>
      <c r="T37" s="2"/>
      <c r="U37" s="2"/>
      <c r="V37" s="26"/>
      <c r="W37" s="26"/>
      <c r="X37" s="29"/>
      <c r="Y37" s="112"/>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1298" t="s">
        <v>1128</v>
      </c>
      <c r="AZ37" s="1299"/>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row>
    <row r="38" spans="1:78" ht="20.100000000000001" customHeight="1">
      <c r="A38" s="26"/>
      <c r="B38" s="26"/>
      <c r="C38" s="26"/>
      <c r="D38" s="26"/>
      <c r="E38" s="26"/>
      <c r="F38" s="26"/>
      <c r="G38" s="26"/>
      <c r="H38" s="26"/>
      <c r="I38" s="26"/>
      <c r="J38" s="26"/>
      <c r="K38" s="26"/>
      <c r="L38" s="26"/>
      <c r="M38" s="26"/>
      <c r="N38" s="26"/>
      <c r="O38" s="26"/>
      <c r="P38" s="26"/>
      <c r="Q38" s="26"/>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1300" t="s">
        <v>1129</v>
      </c>
      <c r="AZ38" s="1301"/>
      <c r="BA38" s="1117" t="s">
        <v>1110</v>
      </c>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99"/>
    </row>
    <row r="39" spans="1:78" ht="15.95" customHeight="1">
      <c r="A39" s="121" t="s">
        <v>621</v>
      </c>
      <c r="B39" s="121" t="str">
        <f>IF(A21=2,"pH", "'pH'")</f>
        <v>pH</v>
      </c>
      <c r="C39" s="121" t="s">
        <v>621</v>
      </c>
      <c r="D39" s="121" t="str">
        <f>IF(A21=2,"pH", "'pH'")</f>
        <v>pH</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888" t="s">
        <v>1001</v>
      </c>
      <c r="T39" s="121"/>
      <c r="U39" s="121"/>
      <c r="V39" s="121"/>
      <c r="W39" s="121"/>
      <c r="X39" s="121"/>
      <c r="Y39" s="121"/>
      <c r="Z39" s="121"/>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c r="AY39" s="121" t="s">
        <v>439</v>
      </c>
      <c r="AZ39" s="121" t="s">
        <v>331</v>
      </c>
      <c r="BA39" s="121" t="s">
        <v>439</v>
      </c>
      <c r="BB39" s="121" t="s">
        <v>331</v>
      </c>
      <c r="BC39" s="121" t="s">
        <v>439</v>
      </c>
      <c r="BD39" s="121" t="s">
        <v>331</v>
      </c>
      <c r="BE39" s="121" t="s">
        <v>439</v>
      </c>
      <c r="BF39" s="121" t="s">
        <v>331</v>
      </c>
      <c r="BG39" s="121" t="s">
        <v>439</v>
      </c>
      <c r="BH39" s="121" t="s">
        <v>331</v>
      </c>
      <c r="BI39" s="121" t="s">
        <v>439</v>
      </c>
      <c r="BJ39" s="121" t="s">
        <v>331</v>
      </c>
      <c r="BK39" s="121" t="s">
        <v>439</v>
      </c>
      <c r="BL39" s="121" t="s">
        <v>331</v>
      </c>
      <c r="BM39" s="121" t="s">
        <v>439</v>
      </c>
      <c r="BN39" s="121" t="s">
        <v>331</v>
      </c>
      <c r="BO39" s="121" t="s">
        <v>439</v>
      </c>
      <c r="BP39" s="121" t="s">
        <v>331</v>
      </c>
      <c r="BQ39" s="121" t="s">
        <v>439</v>
      </c>
      <c r="BR39" s="121" t="s">
        <v>331</v>
      </c>
      <c r="BS39" s="121" t="s">
        <v>439</v>
      </c>
      <c r="BT39" s="121" t="s">
        <v>331</v>
      </c>
      <c r="BU39" s="121" t="s">
        <v>439</v>
      </c>
      <c r="BV39" s="121" t="s">
        <v>331</v>
      </c>
      <c r="BW39" s="121" t="s">
        <v>439</v>
      </c>
      <c r="BX39" s="121" t="s">
        <v>331</v>
      </c>
      <c r="BY39" s="121" t="s">
        <v>439</v>
      </c>
      <c r="BZ39" s="121" t="s">
        <v>331</v>
      </c>
    </row>
    <row r="40" spans="1:78" s="136" customFormat="1" ht="27.75" customHeight="1">
      <c r="A40" s="318" t="s">
        <v>579</v>
      </c>
      <c r="B40" s="319" t="s">
        <v>622</v>
      </c>
      <c r="C40" s="244" t="s">
        <v>682</v>
      </c>
      <c r="D40" s="244" t="s">
        <v>623</v>
      </c>
      <c r="E40" s="320"/>
      <c r="F40" s="320" t="s">
        <v>346</v>
      </c>
      <c r="G40" s="320" t="s">
        <v>624</v>
      </c>
      <c r="H40" s="320" t="s">
        <v>625</v>
      </c>
      <c r="I40" s="234" t="str">
        <f t="shared" ref="I40:R40" si="12">K3</f>
        <v>EDTA</v>
      </c>
      <c r="J40" s="234" t="str">
        <f t="shared" si="12"/>
        <v>Phosphoric acid</v>
      </c>
      <c r="K40" s="234" t="str">
        <f t="shared" si="12"/>
        <v xml:space="preserve">L-Glutamic acid </v>
      </c>
      <c r="L40" s="234" t="str">
        <f t="shared" si="12"/>
        <v>Acetic acid</v>
      </c>
      <c r="M40" s="234" t="str">
        <f t="shared" si="12"/>
        <v>Ammonia</v>
      </c>
      <c r="N40" s="234" t="str">
        <f t="shared" si="12"/>
        <v>HCl</v>
      </c>
      <c r="O40" s="234" t="str">
        <f t="shared" si="12"/>
        <v>Carbonic acid</v>
      </c>
      <c r="P40" s="244" t="str">
        <f t="shared" si="12"/>
        <v>Strong ACID</v>
      </c>
      <c r="Q40" s="244" t="str">
        <f t="shared" si="12"/>
        <v>Strong BASE</v>
      </c>
      <c r="R40" s="244" t="str">
        <f t="shared" si="12"/>
        <v>Carbonic ac.</v>
      </c>
      <c r="S40" s="720" t="s">
        <v>1000</v>
      </c>
      <c r="T40" s="720" t="s">
        <v>999</v>
      </c>
      <c r="U40" s="720" t="s">
        <v>915</v>
      </c>
      <c r="V40" s="720" t="s">
        <v>331</v>
      </c>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v>1</v>
      </c>
      <c r="BB40" s="138">
        <v>1</v>
      </c>
      <c r="BC40" s="138">
        <v>2</v>
      </c>
      <c r="BD40" s="138">
        <v>2</v>
      </c>
      <c r="BE40" s="138">
        <v>3</v>
      </c>
      <c r="BF40" s="138">
        <v>3</v>
      </c>
      <c r="BG40" s="138">
        <v>4</v>
      </c>
      <c r="BH40" s="138">
        <v>4</v>
      </c>
      <c r="BI40" s="138">
        <v>5</v>
      </c>
      <c r="BJ40" s="138">
        <v>5</v>
      </c>
      <c r="BK40" s="138">
        <v>6</v>
      </c>
      <c r="BL40" s="138">
        <v>6</v>
      </c>
      <c r="BM40" s="138">
        <v>7</v>
      </c>
      <c r="BN40" s="138">
        <v>7</v>
      </c>
      <c r="BO40" s="138">
        <v>8</v>
      </c>
      <c r="BP40" s="138">
        <v>8</v>
      </c>
      <c r="BQ40" s="138">
        <v>9</v>
      </c>
      <c r="BR40" s="138">
        <v>9</v>
      </c>
      <c r="BS40" s="138">
        <v>10</v>
      </c>
      <c r="BT40" s="138">
        <v>10</v>
      </c>
      <c r="BU40" s="138">
        <v>11</v>
      </c>
      <c r="BV40" s="138">
        <v>11</v>
      </c>
      <c r="BW40" s="138">
        <v>12</v>
      </c>
      <c r="BX40" s="138">
        <v>12</v>
      </c>
      <c r="BY40" s="138">
        <v>13</v>
      </c>
      <c r="BZ40" s="138">
        <v>13</v>
      </c>
    </row>
    <row r="41" spans="1:78">
      <c r="A41" s="19">
        <v>0</v>
      </c>
      <c r="B41" s="19">
        <v>1.8171072800722754</v>
      </c>
      <c r="C41" s="122"/>
      <c r="D41" s="19"/>
      <c r="E41" s="123">
        <v>1.7357854342666009E-2</v>
      </c>
      <c r="F41" s="123">
        <v>0.15000000000091443</v>
      </c>
      <c r="G41" s="123">
        <v>1</v>
      </c>
      <c r="H41" s="123">
        <v>0</v>
      </c>
      <c r="I41" s="125"/>
      <c r="J41" s="125">
        <v>2.6528429128077948</v>
      </c>
      <c r="K41" s="125"/>
      <c r="L41" s="125"/>
      <c r="M41" s="125"/>
      <c r="N41" s="125"/>
      <c r="O41" s="125"/>
      <c r="P41" s="125"/>
      <c r="Q41" s="125">
        <v>0.99999999999998657</v>
      </c>
      <c r="R41" s="125"/>
      <c r="S41" s="125">
        <v>1.7357960874914532E-2</v>
      </c>
      <c r="T41" s="125">
        <v>0</v>
      </c>
      <c r="U41" s="125">
        <v>0.87780223548545</v>
      </c>
      <c r="V41" s="125">
        <v>1.7605039603076875</v>
      </c>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v>0</v>
      </c>
      <c r="BB41" s="17">
        <v>3.353082640741027</v>
      </c>
      <c r="BC41" s="17">
        <v>0</v>
      </c>
      <c r="BD41" s="17">
        <v>1.3864116955262979</v>
      </c>
      <c r="BE41" s="17"/>
      <c r="BF41" s="17"/>
      <c r="BG41" s="17"/>
      <c r="BH41" s="17"/>
      <c r="BI41" s="17"/>
      <c r="BJ41" s="17"/>
      <c r="BK41" s="17"/>
      <c r="BL41" s="17"/>
      <c r="BM41" s="17"/>
      <c r="BN41" s="17"/>
      <c r="BO41" s="17"/>
      <c r="BP41" s="17"/>
      <c r="BQ41" s="17"/>
      <c r="BR41" s="17"/>
      <c r="BS41" s="17"/>
      <c r="BT41" s="17"/>
      <c r="BU41" s="17"/>
      <c r="BV41" s="17"/>
      <c r="BW41" s="17"/>
      <c r="BX41" s="17"/>
      <c r="BY41" s="17"/>
      <c r="BZ41" s="17"/>
    </row>
    <row r="42" spans="1:78">
      <c r="A42" s="19">
        <v>2.3004448812571354</v>
      </c>
      <c r="B42" s="19">
        <v>2.03204784726322</v>
      </c>
      <c r="C42" s="122"/>
      <c r="D42" s="19"/>
      <c r="E42" s="123">
        <v>1.0695067146970083E-2</v>
      </c>
      <c r="F42" s="123">
        <v>0.13452646419593262</v>
      </c>
      <c r="G42" s="123">
        <v>0.8968430946193513</v>
      </c>
      <c r="H42" s="123">
        <v>0.1031569053806487</v>
      </c>
      <c r="I42" s="125"/>
      <c r="J42" s="125">
        <v>2.5314507563962625</v>
      </c>
      <c r="K42" s="125"/>
      <c r="L42" s="125"/>
      <c r="M42" s="125"/>
      <c r="N42" s="125"/>
      <c r="O42" s="125"/>
      <c r="P42" s="125"/>
      <c r="Q42" s="125">
        <v>0.99999999999997768</v>
      </c>
      <c r="R42" s="125"/>
      <c r="S42" s="125">
        <v>2.1010976044158899E-2</v>
      </c>
      <c r="T42" s="125">
        <v>5.1578452690324355E-3</v>
      </c>
      <c r="U42" s="125">
        <v>0.86849763399392244</v>
      </c>
      <c r="V42" s="125">
        <v>1.9708164844475686</v>
      </c>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v>0.68944716913392767</v>
      </c>
      <c r="BB42" s="17">
        <v>3.5408274918499165</v>
      </c>
      <c r="BC42" s="17">
        <v>3.1178095916402526</v>
      </c>
      <c r="BD42" s="17">
        <v>1.6072509629846639</v>
      </c>
      <c r="BE42" s="17"/>
      <c r="BF42" s="17"/>
      <c r="BG42" s="17"/>
      <c r="BH42" s="17"/>
      <c r="BI42" s="17"/>
      <c r="BJ42" s="17"/>
      <c r="BK42" s="17"/>
      <c r="BL42" s="17"/>
      <c r="BM42" s="17"/>
      <c r="BN42" s="17"/>
      <c r="BO42" s="17"/>
      <c r="BP42" s="17"/>
      <c r="BQ42" s="17"/>
      <c r="BR42" s="17"/>
      <c r="BS42" s="17"/>
      <c r="BT42" s="17"/>
      <c r="BU42" s="17"/>
      <c r="BV42" s="17"/>
      <c r="BW42" s="17"/>
      <c r="BX42" s="17"/>
      <c r="BY42" s="17"/>
      <c r="BZ42" s="17"/>
    </row>
    <row r="43" spans="1:78">
      <c r="A43" s="19">
        <v>4.3254298929241486</v>
      </c>
      <c r="B43" s="19">
        <v>2.2461396194374883</v>
      </c>
      <c r="C43" s="122"/>
      <c r="D43" s="19"/>
      <c r="E43" s="123">
        <v>6.5897811457628786E-3</v>
      </c>
      <c r="F43" s="123">
        <v>0.1233277279462475</v>
      </c>
      <c r="G43" s="123">
        <v>0.82218485292304011</v>
      </c>
      <c r="H43" s="123">
        <v>0.17781514707695992</v>
      </c>
      <c r="I43" s="125"/>
      <c r="J43" s="125">
        <v>2.4071577515211979</v>
      </c>
      <c r="K43" s="125"/>
      <c r="L43" s="125"/>
      <c r="M43" s="125"/>
      <c r="N43" s="125"/>
      <c r="O43" s="125"/>
      <c r="P43" s="125"/>
      <c r="Q43" s="125">
        <v>0.99999999999996314</v>
      </c>
      <c r="R43" s="125"/>
      <c r="S43" s="125">
        <v>2.437172148209207E-2</v>
      </c>
      <c r="T43" s="125">
        <v>8.8907573538479969E-3</v>
      </c>
      <c r="U43" s="125">
        <v>0.86097272151573478</v>
      </c>
      <c r="V43" s="125">
        <v>2.1811290085874497</v>
      </c>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v>1.4582087154849432</v>
      </c>
      <c r="BB43" s="17">
        <v>3.7289556504310046</v>
      </c>
      <c r="BC43" s="17">
        <v>5.4830842549563386</v>
      </c>
      <c r="BD43" s="17">
        <v>1.8295767720077105</v>
      </c>
      <c r="BE43" s="17"/>
      <c r="BF43" s="17"/>
      <c r="BG43" s="17"/>
      <c r="BH43" s="17"/>
      <c r="BI43" s="17"/>
      <c r="BJ43" s="17"/>
      <c r="BK43" s="17"/>
      <c r="BL43" s="17"/>
      <c r="BM43" s="17"/>
      <c r="BN43" s="17"/>
      <c r="BO43" s="17"/>
      <c r="BP43" s="17"/>
      <c r="BQ43" s="17"/>
      <c r="BR43" s="17"/>
      <c r="BS43" s="17"/>
      <c r="BT43" s="17"/>
      <c r="BU43" s="17"/>
      <c r="BV43" s="17"/>
      <c r="BW43" s="17"/>
      <c r="BX43" s="17"/>
      <c r="BY43" s="17"/>
      <c r="BZ43" s="17"/>
    </row>
    <row r="44" spans="1:78">
      <c r="A44" s="19">
        <v>5.9982889695675112</v>
      </c>
      <c r="B44" s="19">
        <v>2.4592837415154789</v>
      </c>
      <c r="C44" s="122"/>
      <c r="D44" s="19"/>
      <c r="E44" s="123">
        <v>4.0603032175776741E-3</v>
      </c>
      <c r="F44" s="123">
        <v>0.11539220921424431</v>
      </c>
      <c r="G44" s="123">
        <v>0.76928139472146395</v>
      </c>
      <c r="H44" s="123">
        <v>0.23071860527853599</v>
      </c>
      <c r="I44" s="125"/>
      <c r="J44" s="125">
        <v>2.2946101667819598</v>
      </c>
      <c r="K44" s="125"/>
      <c r="L44" s="125"/>
      <c r="M44" s="125"/>
      <c r="N44" s="125"/>
      <c r="O44" s="125"/>
      <c r="P44" s="125"/>
      <c r="Q44" s="125">
        <v>0.99999999999993949</v>
      </c>
      <c r="R44" s="125"/>
      <c r="S44" s="125">
        <v>2.7132953092291068E-2</v>
      </c>
      <c r="T44" s="125">
        <v>1.15359302639268E-2</v>
      </c>
      <c r="U44" s="125">
        <v>0.85537744414091221</v>
      </c>
      <c r="V44" s="125">
        <v>2.3914415327273311</v>
      </c>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v>2.3542375754914246</v>
      </c>
      <c r="BB44" s="17">
        <v>3.9171403658690189</v>
      </c>
      <c r="BC44" s="17">
        <v>7.1361621594405733</v>
      </c>
      <c r="BD44" s="17">
        <v>2.0529474593634975</v>
      </c>
      <c r="BE44" s="17"/>
      <c r="BF44" s="17"/>
      <c r="BG44" s="17"/>
      <c r="BH44" s="17"/>
      <c r="BI44" s="17"/>
      <c r="BJ44" s="17"/>
      <c r="BK44" s="17"/>
      <c r="BL44" s="17"/>
      <c r="BM44" s="17"/>
      <c r="BN44" s="17"/>
      <c r="BO44" s="17"/>
      <c r="BP44" s="17"/>
      <c r="BQ44" s="17"/>
      <c r="BR44" s="17"/>
      <c r="BS44" s="17"/>
      <c r="BT44" s="17"/>
      <c r="BU44" s="17"/>
      <c r="BV44" s="17"/>
      <c r="BW44" s="17"/>
      <c r="BX44" s="17"/>
      <c r="BY44" s="17"/>
      <c r="BZ44" s="17"/>
    </row>
    <row r="45" spans="1:78">
      <c r="A45" s="19">
        <v>7.2857926934375428</v>
      </c>
      <c r="B45" s="19">
        <v>2.6715840969865385</v>
      </c>
      <c r="C45" s="122"/>
      <c r="D45" s="19"/>
      <c r="E45" s="123">
        <v>2.501761720762441E-3</v>
      </c>
      <c r="F45" s="123">
        <v>0.10994732803930028</v>
      </c>
      <c r="G45" s="123">
        <v>0.73298218694877038</v>
      </c>
      <c r="H45" s="123">
        <v>0.26701781305122962</v>
      </c>
      <c r="I45" s="125"/>
      <c r="J45" s="125">
        <v>2.2031581791935801</v>
      </c>
      <c r="K45" s="125"/>
      <c r="L45" s="125"/>
      <c r="M45" s="125"/>
      <c r="N45" s="125"/>
      <c r="O45" s="125"/>
      <c r="P45" s="125"/>
      <c r="Q45" s="125">
        <v>0.99999999999990086</v>
      </c>
      <c r="R45" s="125"/>
      <c r="S45" s="125">
        <v>2.9204947353505425E-2</v>
      </c>
      <c r="T45" s="125">
        <v>1.3350890652561481E-2</v>
      </c>
      <c r="U45" s="125">
        <v>0.85147119930955684</v>
      </c>
      <c r="V45" s="125">
        <v>2.601754056867212</v>
      </c>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v>3.3856183566967957</v>
      </c>
      <c r="BB45" s="17">
        <v>4.104981039261852</v>
      </c>
      <c r="BC45" s="17">
        <v>8.2263623175094835</v>
      </c>
      <c r="BD45" s="17">
        <v>2.2770093808906511</v>
      </c>
      <c r="BE45" s="17"/>
      <c r="BF45" s="17"/>
      <c r="BG45" s="17"/>
      <c r="BH45" s="17"/>
      <c r="BI45" s="17"/>
      <c r="BJ45" s="17"/>
      <c r="BK45" s="17"/>
      <c r="BL45" s="17"/>
      <c r="BM45" s="17"/>
      <c r="BN45" s="17"/>
      <c r="BO45" s="17"/>
      <c r="BP45" s="17"/>
      <c r="BQ45" s="17"/>
      <c r="BR45" s="17"/>
      <c r="BS45" s="17"/>
      <c r="BT45" s="17"/>
      <c r="BU45" s="17"/>
      <c r="BV45" s="17"/>
      <c r="BW45" s="17"/>
      <c r="BX45" s="17"/>
      <c r="BY45" s="17"/>
      <c r="BZ45" s="17"/>
    </row>
    <row r="46" spans="1:78">
      <c r="A46" s="19">
        <v>8.2150732792797498</v>
      </c>
      <c r="B46" s="19">
        <v>2.8832299762264122</v>
      </c>
      <c r="C46" s="122"/>
      <c r="D46" s="19"/>
      <c r="E46" s="123">
        <v>1.5414641153835233E-3</v>
      </c>
      <c r="F46" s="123">
        <v>0.10632614596959959</v>
      </c>
      <c r="G46" s="123">
        <v>0.70884097315879957</v>
      </c>
      <c r="H46" s="123">
        <v>0.29115902684120043</v>
      </c>
      <c r="I46" s="125"/>
      <c r="J46" s="125">
        <v>2.1350001493837012</v>
      </c>
      <c r="K46" s="125"/>
      <c r="L46" s="125"/>
      <c r="M46" s="125"/>
      <c r="N46" s="125"/>
      <c r="O46" s="125"/>
      <c r="P46" s="125"/>
      <c r="Q46" s="125">
        <v>0.99999999999983802</v>
      </c>
      <c r="R46" s="125"/>
      <c r="S46" s="125">
        <v>3.0659788869863612E-2</v>
      </c>
      <c r="T46" s="125">
        <v>1.4557951342060022E-2</v>
      </c>
      <c r="U46" s="125">
        <v>0.8488610523913126</v>
      </c>
      <c r="V46" s="125">
        <v>2.8120665810070933</v>
      </c>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v>4.5085039237164892</v>
      </c>
      <c r="BB46" s="17">
        <v>4.2921165891014637</v>
      </c>
      <c r="BC46" s="17">
        <v>8.9180936905904673</v>
      </c>
      <c r="BD46" s="17">
        <v>2.5015107349928822</v>
      </c>
      <c r="BE46" s="17"/>
      <c r="BF46" s="17"/>
      <c r="BG46" s="17"/>
      <c r="BH46" s="17"/>
      <c r="BI46" s="17"/>
      <c r="BJ46" s="17"/>
      <c r="BK46" s="17"/>
      <c r="BL46" s="17"/>
      <c r="BM46" s="17"/>
      <c r="BN46" s="17"/>
      <c r="BO46" s="17"/>
      <c r="BP46" s="17"/>
      <c r="BQ46" s="17"/>
      <c r="BR46" s="17"/>
      <c r="BS46" s="17"/>
      <c r="BT46" s="17"/>
      <c r="BU46" s="17"/>
      <c r="BV46" s="17"/>
      <c r="BW46" s="17"/>
      <c r="BX46" s="17"/>
      <c r="BY46" s="17"/>
      <c r="BZ46" s="17"/>
    </row>
    <row r="47" spans="1:78">
      <c r="A47" s="19">
        <v>8.852646873856429</v>
      </c>
      <c r="B47" s="19">
        <v>3.0944106420923969</v>
      </c>
      <c r="C47" s="122"/>
      <c r="D47" s="19"/>
      <c r="E47" s="123">
        <v>9.4977535202311772E-4</v>
      </c>
      <c r="F47" s="123">
        <v>0.10397659574092094</v>
      </c>
      <c r="G47" s="123">
        <v>0.69317730489099161</v>
      </c>
      <c r="H47" s="123">
        <v>0.30682269510900839</v>
      </c>
      <c r="I47" s="125"/>
      <c r="J47" s="125">
        <v>2.0873317802623101</v>
      </c>
      <c r="K47" s="125"/>
      <c r="L47" s="125"/>
      <c r="M47" s="125"/>
      <c r="N47" s="125"/>
      <c r="O47" s="125"/>
      <c r="P47" s="125"/>
      <c r="Q47" s="125">
        <v>0.9999999999997361</v>
      </c>
      <c r="R47" s="125"/>
      <c r="S47" s="125">
        <v>3.1636132947344041E-2</v>
      </c>
      <c r="T47" s="125">
        <v>1.534113475545042E-2</v>
      </c>
      <c r="U47" s="125">
        <v>0.84716589935920295</v>
      </c>
      <c r="V47" s="125">
        <v>3.0223791051469746</v>
      </c>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v>5.6376073000137694</v>
      </c>
      <c r="BB47" s="17">
        <v>4.478332619621276</v>
      </c>
      <c r="BC47" s="17">
        <v>9.346292847476434</v>
      </c>
      <c r="BD47" s="17">
        <v>2.7262844425341055</v>
      </c>
      <c r="BE47" s="17"/>
      <c r="BF47" s="17"/>
      <c r="BG47" s="17"/>
      <c r="BH47" s="17"/>
      <c r="BI47" s="17"/>
      <c r="BJ47" s="17"/>
      <c r="BK47" s="17"/>
      <c r="BL47" s="17"/>
      <c r="BM47" s="17"/>
      <c r="BN47" s="17"/>
      <c r="BO47" s="17"/>
      <c r="BP47" s="17"/>
      <c r="BQ47" s="17"/>
      <c r="BR47" s="17"/>
      <c r="BS47" s="17"/>
      <c r="BT47" s="17"/>
      <c r="BU47" s="17"/>
      <c r="BV47" s="17"/>
      <c r="BW47" s="17"/>
      <c r="BX47" s="17"/>
      <c r="BY47" s="17"/>
      <c r="BZ47" s="17"/>
    </row>
    <row r="48" spans="1:78">
      <c r="A48" s="19">
        <v>9.2745251997257583</v>
      </c>
      <c r="B48" s="19">
        <v>3.3052786795679925</v>
      </c>
      <c r="C48" s="122"/>
      <c r="D48" s="19"/>
      <c r="E48" s="123">
        <v>5.8520546168290024E-4</v>
      </c>
      <c r="F48" s="123">
        <v>0.10247817785199111</v>
      </c>
      <c r="G48" s="123">
        <v>0.68318785239193314</v>
      </c>
      <c r="H48" s="123">
        <v>0.31681214760806681</v>
      </c>
      <c r="I48" s="125"/>
      <c r="J48" s="125">
        <v>2.0554158686437547</v>
      </c>
      <c r="K48" s="125"/>
      <c r="L48" s="125"/>
      <c r="M48" s="125"/>
      <c r="N48" s="125"/>
      <c r="O48" s="125"/>
      <c r="P48" s="125"/>
      <c r="Q48" s="125">
        <v>0.99999999999957057</v>
      </c>
      <c r="R48" s="125"/>
      <c r="S48" s="125">
        <v>3.2273221769324241E-2</v>
      </c>
      <c r="T48" s="125">
        <v>1.584060738040334E-2</v>
      </c>
      <c r="U48" s="125">
        <v>0.84608296807697225</v>
      </c>
      <c r="V48" s="125">
        <v>3.2326916292868555</v>
      </c>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v>6.6790875498554669</v>
      </c>
      <c r="BB48" s="17">
        <v>4.6635941782915484</v>
      </c>
      <c r="BC48" s="17">
        <v>9.6073197331861593</v>
      </c>
      <c r="BD48" s="17">
        <v>2.9512243027203571</v>
      </c>
      <c r="BE48" s="17"/>
      <c r="BF48" s="17"/>
      <c r="BG48" s="17"/>
      <c r="BH48" s="17"/>
      <c r="BI48" s="17"/>
      <c r="BJ48" s="17"/>
      <c r="BK48" s="17"/>
      <c r="BL48" s="17"/>
      <c r="BM48" s="17"/>
      <c r="BN48" s="17"/>
      <c r="BO48" s="17"/>
      <c r="BP48" s="17"/>
      <c r="BQ48" s="17"/>
      <c r="BR48" s="17"/>
      <c r="BS48" s="17"/>
      <c r="BT48" s="17"/>
      <c r="BU48" s="17"/>
      <c r="BV48" s="17"/>
      <c r="BW48" s="17"/>
      <c r="BX48" s="17"/>
      <c r="BY48" s="17"/>
      <c r="BZ48" s="17"/>
    </row>
    <row r="49" spans="1:78">
      <c r="A49" s="19">
        <v>9.5472193221212365</v>
      </c>
      <c r="B49" s="19">
        <v>3.5159445293883027</v>
      </c>
      <c r="C49" s="122"/>
      <c r="D49" s="19"/>
      <c r="E49" s="123">
        <v>3.6057519460155532E-4</v>
      </c>
      <c r="F49" s="123">
        <v>0.10153239692097531</v>
      </c>
      <c r="G49" s="123">
        <v>0.67688264607835791</v>
      </c>
      <c r="H49" s="123">
        <v>0.32311735392164215</v>
      </c>
      <c r="I49" s="125"/>
      <c r="J49" s="125">
        <v>2.0346240747124833</v>
      </c>
      <c r="K49" s="125"/>
      <c r="L49" s="125"/>
      <c r="M49" s="125"/>
      <c r="N49" s="125"/>
      <c r="O49" s="125"/>
      <c r="P49" s="125"/>
      <c r="Q49" s="125">
        <v>0.999999999999302</v>
      </c>
      <c r="R49" s="125"/>
      <c r="S49" s="125">
        <v>3.2683521659557908E-2</v>
      </c>
      <c r="T49" s="125">
        <v>1.6155867696082109E-2</v>
      </c>
      <c r="U49" s="125">
        <v>0.84539490670520601</v>
      </c>
      <c r="V49" s="125">
        <v>3.4430041534267364</v>
      </c>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v>7.5649809048627503</v>
      </c>
      <c r="BB49" s="17">
        <v>4.8480013819512893</v>
      </c>
      <c r="BC49" s="17">
        <v>9.7649527495377697</v>
      </c>
      <c r="BD49" s="17">
        <v>3.1762645496567417</v>
      </c>
      <c r="BE49" s="17"/>
      <c r="BF49" s="17"/>
      <c r="BG49" s="17"/>
      <c r="BH49" s="17"/>
      <c r="BI49" s="17"/>
      <c r="BJ49" s="17"/>
      <c r="BK49" s="17"/>
      <c r="BL49" s="17"/>
      <c r="BM49" s="17"/>
      <c r="BN49" s="17"/>
      <c r="BO49" s="17"/>
      <c r="BP49" s="17"/>
      <c r="BQ49" s="17"/>
      <c r="BR49" s="17"/>
      <c r="BS49" s="17"/>
      <c r="BT49" s="17"/>
      <c r="BU49" s="17"/>
      <c r="BV49" s="17"/>
      <c r="BW49" s="17"/>
      <c r="BX49" s="17"/>
      <c r="BY49" s="17"/>
      <c r="BZ49" s="17"/>
    </row>
    <row r="50" spans="1:78">
      <c r="A50" s="19">
        <v>9.7213898246991448</v>
      </c>
      <c r="B50" s="19">
        <v>3.7264837975794283</v>
      </c>
      <c r="C50" s="122"/>
      <c r="D50" s="19"/>
      <c r="E50" s="123">
        <v>2.2216892950394077E-4</v>
      </c>
      <c r="F50" s="123">
        <v>0.10093740628264757</v>
      </c>
      <c r="G50" s="123">
        <v>0.67291604191264198</v>
      </c>
      <c r="H50" s="123">
        <v>0.32708395808735796</v>
      </c>
      <c r="I50" s="125"/>
      <c r="J50" s="125">
        <v>2.0212578500768035</v>
      </c>
      <c r="K50" s="125"/>
      <c r="L50" s="125"/>
      <c r="M50" s="125"/>
      <c r="N50" s="125"/>
      <c r="O50" s="125"/>
      <c r="P50" s="125"/>
      <c r="Q50" s="125">
        <v>0.99999999999886591</v>
      </c>
      <c r="R50" s="125"/>
      <c r="S50" s="125">
        <v>3.294893433349292E-2</v>
      </c>
      <c r="T50" s="125">
        <v>1.6354197904367897E-2</v>
      </c>
      <c r="U50" s="125">
        <v>0.84495364338038104</v>
      </c>
      <c r="V50" s="125">
        <v>3.6533166775666177</v>
      </c>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v>8.2683403175906278</v>
      </c>
      <c r="BB50" s="17">
        <v>5.031717381531374</v>
      </c>
      <c r="BC50" s="17">
        <v>9.8596074545639567</v>
      </c>
      <c r="BD50" s="17">
        <v>3.4013650938911701</v>
      </c>
      <c r="BE50" s="17"/>
      <c r="BF50" s="17"/>
      <c r="BG50" s="17"/>
      <c r="BH50" s="17"/>
      <c r="BI50" s="17"/>
      <c r="BJ50" s="17"/>
      <c r="BK50" s="17"/>
      <c r="BL50" s="17"/>
      <c r="BM50" s="17"/>
      <c r="BN50" s="17"/>
      <c r="BO50" s="17"/>
      <c r="BP50" s="17"/>
      <c r="BQ50" s="17"/>
      <c r="BR50" s="17"/>
      <c r="BS50" s="17"/>
      <c r="BT50" s="17"/>
      <c r="BU50" s="17"/>
      <c r="BV50" s="17"/>
      <c r="BW50" s="17"/>
      <c r="BX50" s="17"/>
      <c r="BY50" s="17"/>
      <c r="BZ50" s="17"/>
    </row>
    <row r="51" spans="1:78">
      <c r="A51" s="19">
        <v>9.8327682426315732</v>
      </c>
      <c r="B51" s="19">
        <v>3.9369472311575628</v>
      </c>
      <c r="C51" s="122"/>
      <c r="D51" s="19"/>
      <c r="E51" s="123">
        <v>1.3688970837683379E-4</v>
      </c>
      <c r="F51" s="123">
        <v>0.10056056399098963</v>
      </c>
      <c r="G51" s="123">
        <v>0.6704037599314725</v>
      </c>
      <c r="H51" s="123">
        <v>0.3295962400685275</v>
      </c>
      <c r="I51" s="125"/>
      <c r="J51" s="125">
        <v>2.0126393797617834</v>
      </c>
      <c r="K51" s="125"/>
      <c r="L51" s="125"/>
      <c r="M51" s="125"/>
      <c r="N51" s="125"/>
      <c r="O51" s="125"/>
      <c r="P51" s="125"/>
      <c r="Q51" s="125">
        <v>0.99999999999815814</v>
      </c>
      <c r="R51" s="125"/>
      <c r="S51" s="125">
        <v>3.3126498154292562E-2</v>
      </c>
      <c r="T51" s="125">
        <v>1.6479812003426377E-2</v>
      </c>
      <c r="U51" s="125">
        <v>0.84466008836542694</v>
      </c>
      <c r="V51" s="125">
        <v>3.863629201706499</v>
      </c>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v>8.7971470828051679</v>
      </c>
      <c r="BB51" s="17">
        <v>5.2149114594288255</v>
      </c>
      <c r="BC51" s="17">
        <v>9.9162514918134548</v>
      </c>
      <c r="BD51" s="17">
        <v>3.6265017280784404</v>
      </c>
      <c r="BE51" s="17"/>
      <c r="BF51" s="17"/>
      <c r="BG51" s="17"/>
      <c r="BH51" s="17"/>
      <c r="BI51" s="17"/>
      <c r="BJ51" s="17"/>
      <c r="BK51" s="17"/>
      <c r="BL51" s="17"/>
      <c r="BM51" s="17"/>
      <c r="BN51" s="17"/>
      <c r="BO51" s="17"/>
      <c r="BP51" s="17"/>
      <c r="BQ51" s="17"/>
      <c r="BR51" s="17"/>
      <c r="BS51" s="17"/>
      <c r="BT51" s="17"/>
      <c r="BU51" s="17"/>
      <c r="BV51" s="17"/>
      <c r="BW51" s="17"/>
      <c r="BX51" s="17"/>
      <c r="BY51" s="17"/>
      <c r="BZ51" s="17"/>
    </row>
    <row r="52" spans="1:78">
      <c r="A52" s="19">
        <v>9.9056407503667288</v>
      </c>
      <c r="B52" s="19">
        <v>4.1473695514894615</v>
      </c>
      <c r="C52" s="122"/>
      <c r="D52" s="19"/>
      <c r="E52" s="123">
        <v>8.4344792502419799E-5</v>
      </c>
      <c r="F52" s="123">
        <v>0.10031552325141381</v>
      </c>
      <c r="G52" s="123">
        <v>0.66877015503263981</v>
      </c>
      <c r="H52" s="123">
        <v>0.33122984496736019</v>
      </c>
      <c r="I52" s="125"/>
      <c r="J52" s="125">
        <v>2.0069135449507414</v>
      </c>
      <c r="K52" s="125"/>
      <c r="L52" s="125"/>
      <c r="M52" s="125"/>
      <c r="N52" s="125"/>
      <c r="O52" s="125"/>
      <c r="P52" s="125"/>
      <c r="Q52" s="125">
        <v>0.99999999999700917</v>
      </c>
      <c r="R52" s="125"/>
      <c r="S52" s="125">
        <v>3.3256150452565782E-2</v>
      </c>
      <c r="T52" s="125">
        <v>1.6561492248368011E-2</v>
      </c>
      <c r="U52" s="125">
        <v>0.84444657256159816</v>
      </c>
      <c r="V52" s="125">
        <v>4.0739417258463799</v>
      </c>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v>9.1788289413671009</v>
      </c>
      <c r="BB52" s="17">
        <v>5.3977294222803902</v>
      </c>
      <c r="BC52" s="17">
        <v>9.9500796364736743</v>
      </c>
      <c r="BD52" s="17">
        <v>3.8516599176710975</v>
      </c>
      <c r="BE52" s="17"/>
      <c r="BF52" s="17"/>
      <c r="BG52" s="17"/>
      <c r="BH52" s="17"/>
      <c r="BI52" s="17"/>
      <c r="BJ52" s="17"/>
      <c r="BK52" s="17"/>
      <c r="BL52" s="17"/>
      <c r="BM52" s="17"/>
      <c r="BN52" s="17"/>
      <c r="BO52" s="17"/>
      <c r="BP52" s="17"/>
      <c r="BQ52" s="17"/>
      <c r="BR52" s="17"/>
      <c r="BS52" s="17"/>
      <c r="BT52" s="17"/>
      <c r="BU52" s="17"/>
      <c r="BV52" s="17"/>
      <c r="BW52" s="17"/>
      <c r="BX52" s="17"/>
      <c r="BY52" s="17"/>
      <c r="BZ52" s="17"/>
    </row>
    <row r="53" spans="1:78">
      <c r="A53" s="19">
        <v>9.956512633652892</v>
      </c>
      <c r="B53" s="19">
        <v>4.3577764259656462</v>
      </c>
      <c r="C53" s="122"/>
      <c r="D53" s="19"/>
      <c r="E53" s="123">
        <v>5.1969166321053877E-5</v>
      </c>
      <c r="F53" s="123">
        <v>0.10014516831969518</v>
      </c>
      <c r="G53" s="123">
        <v>0.66763445550413325</v>
      </c>
      <c r="H53" s="123">
        <v>0.3323655444958668</v>
      </c>
      <c r="I53" s="125"/>
      <c r="J53" s="125">
        <v>2.0027919297632981</v>
      </c>
      <c r="K53" s="125"/>
      <c r="L53" s="125"/>
      <c r="M53" s="125"/>
      <c r="N53" s="125"/>
      <c r="O53" s="125"/>
      <c r="P53" s="125"/>
      <c r="Q53" s="125">
        <v>0.99999999999514377</v>
      </c>
      <c r="R53" s="125"/>
      <c r="S53" s="125">
        <v>3.3367876375984901E-2</v>
      </c>
      <c r="T53" s="125">
        <v>1.6618277224793341E-2</v>
      </c>
      <c r="U53" s="125">
        <v>0.8442631367495288</v>
      </c>
      <c r="V53" s="125">
        <v>4.2842542499862617</v>
      </c>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v>9.4463911591446958</v>
      </c>
      <c r="BB53" s="17">
        <v>5.5802847581417367</v>
      </c>
      <c r="BC53" s="17">
        <v>9.9702573395916261</v>
      </c>
      <c r="BD53" s="17">
        <v>4.0768309653786892</v>
      </c>
      <c r="BE53" s="17"/>
      <c r="BF53" s="17"/>
      <c r="BG53" s="17"/>
      <c r="BH53" s="17"/>
      <c r="BI53" s="17"/>
      <c r="BJ53" s="17"/>
      <c r="BK53" s="17"/>
      <c r="BL53" s="17"/>
      <c r="BM53" s="17"/>
      <c r="BN53" s="17"/>
      <c r="BO53" s="17"/>
      <c r="BP53" s="17"/>
      <c r="BQ53" s="17"/>
      <c r="BR53" s="17"/>
      <c r="BS53" s="17"/>
      <c r="BT53" s="17"/>
      <c r="BU53" s="17"/>
      <c r="BV53" s="17"/>
      <c r="BW53" s="17"/>
      <c r="BX53" s="17"/>
      <c r="BY53" s="17"/>
      <c r="BZ53" s="17"/>
    </row>
    <row r="54" spans="1:78">
      <c r="A54" s="19">
        <v>9.9971799951163121</v>
      </c>
      <c r="B54" s="19">
        <v>4.568190022913047</v>
      </c>
      <c r="C54" s="122"/>
      <c r="D54" s="19"/>
      <c r="E54" s="123">
        <v>3.2020877258402024E-5</v>
      </c>
      <c r="F54" s="123">
        <v>0.10000940089965143</v>
      </c>
      <c r="G54" s="123">
        <v>0.66672933930075695</v>
      </c>
      <c r="H54" s="123">
        <v>0.3332706606992431</v>
      </c>
      <c r="I54" s="125"/>
      <c r="J54" s="125">
        <v>1.9993214777082624</v>
      </c>
      <c r="K54" s="125"/>
      <c r="L54" s="125"/>
      <c r="M54" s="125"/>
      <c r="N54" s="125"/>
      <c r="O54" s="125"/>
      <c r="P54" s="125"/>
      <c r="Q54" s="125">
        <v>0.99999999999211475</v>
      </c>
      <c r="R54" s="125"/>
      <c r="S54" s="125">
        <v>3.3487884426478237E-2</v>
      </c>
      <c r="T54" s="125">
        <v>1.6663533034962156E-2</v>
      </c>
      <c r="U54" s="125">
        <v>0.84406667532349733</v>
      </c>
      <c r="V54" s="125">
        <v>4.4945667741261417</v>
      </c>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v>9.6302381294663064</v>
      </c>
      <c r="BB54" s="17">
        <v>5.7626606426347093</v>
      </c>
      <c r="BC54" s="17">
        <v>9.9822841104469262</v>
      </c>
      <c r="BD54" s="17">
        <v>4.3020096773616689</v>
      </c>
      <c r="BE54" s="17"/>
      <c r="BF54" s="17"/>
      <c r="BG54" s="17"/>
      <c r="BH54" s="17"/>
      <c r="BI54" s="17"/>
      <c r="BJ54" s="17"/>
      <c r="BK54" s="17"/>
      <c r="BL54" s="17"/>
      <c r="BM54" s="17"/>
      <c r="BN54" s="17"/>
      <c r="BO54" s="17"/>
      <c r="BP54" s="17"/>
      <c r="BQ54" s="17"/>
      <c r="BR54" s="17"/>
      <c r="BS54" s="17"/>
      <c r="BT54" s="17"/>
      <c r="BU54" s="17"/>
      <c r="BV54" s="17"/>
      <c r="BW54" s="17"/>
      <c r="BX54" s="17"/>
      <c r="BY54" s="17"/>
      <c r="BZ54" s="17"/>
    </row>
    <row r="55" spans="1:78">
      <c r="A55" s="19">
        <v>10.037190483126324</v>
      </c>
      <c r="B55" s="19">
        <v>4.7786339196049799</v>
      </c>
      <c r="C55" s="122"/>
      <c r="D55" s="19"/>
      <c r="E55" s="123">
        <v>1.9729709998874018E-5</v>
      </c>
      <c r="F55" s="123">
        <v>9.9876185217381522E-2</v>
      </c>
      <c r="G55" s="123">
        <v>0.66584123479205271</v>
      </c>
      <c r="H55" s="123">
        <v>0.33415876520794724</v>
      </c>
      <c r="I55" s="125"/>
      <c r="J55" s="125">
        <v>1.9956883482757002</v>
      </c>
      <c r="K55" s="125"/>
      <c r="L55" s="125"/>
      <c r="M55" s="125"/>
      <c r="N55" s="125"/>
      <c r="O55" s="125"/>
      <c r="P55" s="125"/>
      <c r="Q55" s="125">
        <v>0.99999999998719469</v>
      </c>
      <c r="R55" s="125"/>
      <c r="S55" s="125">
        <v>3.3644367396273751E-2</v>
      </c>
      <c r="T55" s="125">
        <v>1.6707938260397362E-2</v>
      </c>
      <c r="U55" s="125">
        <v>0.84381138674954648</v>
      </c>
      <c r="V55" s="125">
        <v>4.7048792982660235</v>
      </c>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v>9.7549627986154519</v>
      </c>
      <c r="BB55" s="17">
        <v>5.9449158555196302</v>
      </c>
      <c r="BC55" s="17">
        <v>9.9894494880572893</v>
      </c>
      <c r="BD55" s="17">
        <v>4.5271929557213983</v>
      </c>
      <c r="BE55" s="17"/>
      <c r="BF55" s="17"/>
      <c r="BG55" s="17"/>
      <c r="BH55" s="17"/>
      <c r="BI55" s="17"/>
      <c r="BJ55" s="17"/>
      <c r="BK55" s="17"/>
      <c r="BL55" s="17"/>
      <c r="BM55" s="17"/>
      <c r="BN55" s="17"/>
      <c r="BO55" s="17"/>
      <c r="BP55" s="17"/>
      <c r="BQ55" s="17"/>
      <c r="BR55" s="17"/>
      <c r="BS55" s="17"/>
      <c r="BT55" s="17"/>
      <c r="BU55" s="17"/>
      <c r="BV55" s="17"/>
      <c r="BW55" s="17"/>
      <c r="BX55" s="17"/>
      <c r="BY55" s="17"/>
      <c r="BZ55" s="17"/>
    </row>
    <row r="56" spans="1:78">
      <c r="A56" s="19">
        <v>10.085949620406609</v>
      </c>
      <c r="B56" s="19">
        <v>4.989138153184598</v>
      </c>
      <c r="C56" s="122"/>
      <c r="D56" s="19"/>
      <c r="E56" s="123">
        <v>1.2156489452128646E-5</v>
      </c>
      <c r="F56" s="123">
        <v>9.9714319740156113E-2</v>
      </c>
      <c r="G56" s="123">
        <v>0.66476213160317921</v>
      </c>
      <c r="H56" s="123">
        <v>0.33523786839682085</v>
      </c>
      <c r="I56" s="125"/>
      <c r="J56" s="125">
        <v>1.9910393336176375</v>
      </c>
      <c r="K56" s="125"/>
      <c r="L56" s="125"/>
      <c r="M56" s="125"/>
      <c r="N56" s="125"/>
      <c r="O56" s="125"/>
      <c r="P56" s="125"/>
      <c r="Q56" s="125">
        <v>0.99999999997919897</v>
      </c>
      <c r="R56" s="125"/>
      <c r="S56" s="125">
        <v>3.3873735482340829E-2</v>
      </c>
      <c r="T56" s="125">
        <v>1.6761893419841044E-2</v>
      </c>
      <c r="U56" s="125">
        <v>0.843438987583632</v>
      </c>
      <c r="V56" s="125">
        <v>4.9151918224059044</v>
      </c>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v>9.8390408456907608</v>
      </c>
      <c r="BB56" s="17">
        <v>6.1270910859581083</v>
      </c>
      <c r="BC56" s="17">
        <v>9.9937174454680644</v>
      </c>
      <c r="BD56" s="17">
        <v>4.7523789540175265</v>
      </c>
      <c r="BE56" s="17"/>
      <c r="BF56" s="17"/>
      <c r="BG56" s="17"/>
      <c r="BH56" s="17"/>
      <c r="BI56" s="17"/>
      <c r="BJ56" s="17"/>
      <c r="BK56" s="17"/>
      <c r="BL56" s="17"/>
      <c r="BM56" s="17"/>
      <c r="BN56" s="17"/>
      <c r="BO56" s="17"/>
      <c r="BP56" s="17"/>
      <c r="BQ56" s="17"/>
      <c r="BR56" s="17"/>
      <c r="BS56" s="17"/>
      <c r="BT56" s="17"/>
      <c r="BU56" s="17"/>
      <c r="BV56" s="17"/>
      <c r="BW56" s="17"/>
      <c r="BX56" s="17"/>
      <c r="BY56" s="17"/>
      <c r="BZ56" s="17"/>
    </row>
    <row r="57" spans="1:78">
      <c r="A57" s="19">
        <v>10.154803957266267</v>
      </c>
      <c r="B57" s="19">
        <v>5.1997450596983432</v>
      </c>
      <c r="C57" s="122"/>
      <c r="D57" s="19"/>
      <c r="E57" s="123">
        <v>7.4902386202406884E-6</v>
      </c>
      <c r="F57" s="123">
        <v>9.9486635840429175E-2</v>
      </c>
      <c r="G57" s="123">
        <v>0.66324423893811579</v>
      </c>
      <c r="H57" s="123">
        <v>0.33675576106188421</v>
      </c>
      <c r="I57" s="125"/>
      <c r="J57" s="125">
        <v>1.9842937948287349</v>
      </c>
      <c r="K57" s="125"/>
      <c r="L57" s="125"/>
      <c r="M57" s="125"/>
      <c r="N57" s="125"/>
      <c r="O57" s="125"/>
      <c r="P57" s="125"/>
      <c r="Q57" s="125">
        <v>0.9999999999661946</v>
      </c>
      <c r="R57" s="125"/>
      <c r="S57" s="125">
        <v>3.4228304520139044E-2</v>
      </c>
      <c r="T57" s="125">
        <v>1.6837788053094212E-2</v>
      </c>
      <c r="U57" s="125">
        <v>0.84286746425328307</v>
      </c>
      <c r="V57" s="125">
        <v>5.1255043465457852</v>
      </c>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v>9.8957675087149255</v>
      </c>
      <c r="BB57" s="17">
        <v>6.309214284576151</v>
      </c>
      <c r="BC57" s="17">
        <v>9.9962592605152167</v>
      </c>
      <c r="BD57" s="17">
        <v>4.9775665722206686</v>
      </c>
      <c r="BE57" s="17"/>
      <c r="BF57" s="17"/>
      <c r="BG57" s="17"/>
      <c r="BH57" s="17"/>
      <c r="BI57" s="17"/>
      <c r="BJ57" s="17"/>
      <c r="BK57" s="17"/>
      <c r="BL57" s="17"/>
      <c r="BM57" s="17"/>
      <c r="BN57" s="17"/>
      <c r="BO57" s="17"/>
      <c r="BP57" s="17"/>
      <c r="BQ57" s="17"/>
      <c r="BR57" s="17"/>
      <c r="BS57" s="17"/>
      <c r="BT57" s="17"/>
      <c r="BU57" s="17"/>
      <c r="BV57" s="17"/>
      <c r="BW57" s="17"/>
      <c r="BX57" s="17"/>
      <c r="BY57" s="17"/>
      <c r="BZ57" s="17"/>
    </row>
    <row r="58" spans="1:78">
      <c r="A58" s="19">
        <v>10.259427917480934</v>
      </c>
      <c r="B58" s="19">
        <v>5.4105160650546065</v>
      </c>
      <c r="C58" s="122"/>
      <c r="D58" s="19"/>
      <c r="E58" s="123">
        <v>4.6151213974295064E-6</v>
      </c>
      <c r="F58" s="123">
        <v>9.9142654253474599E-2</v>
      </c>
      <c r="G58" s="123">
        <v>0.66095102833996899</v>
      </c>
      <c r="H58" s="123">
        <v>0.33904897166003101</v>
      </c>
      <c r="I58" s="125"/>
      <c r="J58" s="125">
        <v>1.9739176504316283</v>
      </c>
      <c r="K58" s="125"/>
      <c r="L58" s="125"/>
      <c r="M58" s="125"/>
      <c r="N58" s="125"/>
      <c r="O58" s="125"/>
      <c r="P58" s="125"/>
      <c r="Q58" s="125">
        <v>0.99999999994501865</v>
      </c>
      <c r="R58" s="125"/>
      <c r="S58" s="125">
        <v>3.4786262993398223E-2</v>
      </c>
      <c r="T58" s="125">
        <v>1.6952448583001552E-2</v>
      </c>
      <c r="U58" s="125">
        <v>0.84197812535469474</v>
      </c>
      <c r="V58" s="125">
        <v>5.335816870685667</v>
      </c>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v>9.9345023700152524</v>
      </c>
      <c r="BB58" s="17">
        <v>6.4913047943471502</v>
      </c>
      <c r="BC58" s="17">
        <v>9.9977730118553154</v>
      </c>
      <c r="BD58" s="17">
        <v>5.202755155161106</v>
      </c>
      <c r="BE58" s="17"/>
      <c r="BF58" s="17"/>
      <c r="BG58" s="17"/>
      <c r="BH58" s="17"/>
      <c r="BI58" s="17"/>
      <c r="BJ58" s="17"/>
      <c r="BK58" s="17"/>
      <c r="BL58" s="17"/>
      <c r="BM58" s="17"/>
      <c r="BN58" s="17"/>
      <c r="BO58" s="17"/>
      <c r="BP58" s="17"/>
      <c r="BQ58" s="17"/>
      <c r="BR58" s="17"/>
      <c r="BS58" s="17"/>
      <c r="BT58" s="17"/>
      <c r="BU58" s="17"/>
      <c r="BV58" s="17"/>
      <c r="BW58" s="17"/>
      <c r="BX58" s="17"/>
      <c r="BY58" s="17"/>
      <c r="BZ58" s="17"/>
    </row>
    <row r="59" spans="1:78">
      <c r="A59" s="19">
        <v>10.422738817578647</v>
      </c>
      <c r="B59" s="19">
        <v>5.6215382068211683</v>
      </c>
      <c r="C59" s="122"/>
      <c r="D59" s="19"/>
      <c r="E59" s="123">
        <v>2.843613747558726E-6</v>
      </c>
      <c r="F59" s="123">
        <v>9.8610451153121198E-2</v>
      </c>
      <c r="G59" s="123">
        <v>0.65740300763082837</v>
      </c>
      <c r="H59" s="123">
        <v>0.34259699236917168</v>
      </c>
      <c r="I59" s="125"/>
      <c r="J59" s="125">
        <v>1.9576397603863638</v>
      </c>
      <c r="K59" s="125"/>
      <c r="L59" s="125"/>
      <c r="M59" s="125"/>
      <c r="N59" s="125"/>
      <c r="O59" s="125"/>
      <c r="P59" s="125"/>
      <c r="Q59" s="125">
        <v>0.9999999999104745</v>
      </c>
      <c r="R59" s="125"/>
      <c r="S59" s="125">
        <v>3.5663819069777836E-2</v>
      </c>
      <c r="T59" s="125">
        <v>1.7129849618458586E-2</v>
      </c>
      <c r="U59" s="125">
        <v>0.84060349441692406</v>
      </c>
      <c r="V59" s="125">
        <v>5.5461293948255479</v>
      </c>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v>9.9618181542609818</v>
      </c>
      <c r="BB59" s="17">
        <v>6.6733764198713299</v>
      </c>
      <c r="BC59" s="17">
        <v>9.9986746281501837</v>
      </c>
      <c r="BD59" s="17">
        <v>5.427944312752996</v>
      </c>
      <c r="BE59" s="17"/>
      <c r="BF59" s="17"/>
      <c r="BG59" s="17"/>
      <c r="BH59" s="17"/>
      <c r="BI59" s="17"/>
      <c r="BJ59" s="17"/>
      <c r="BK59" s="17"/>
      <c r="BL59" s="17"/>
      <c r="BM59" s="17"/>
      <c r="BN59" s="17"/>
      <c r="BO59" s="17"/>
      <c r="BP59" s="17"/>
      <c r="BQ59" s="17"/>
      <c r="BR59" s="17"/>
      <c r="BS59" s="17"/>
      <c r="BT59" s="17"/>
      <c r="BU59" s="17"/>
      <c r="BV59" s="17"/>
      <c r="BW59" s="17"/>
      <c r="BX59" s="17"/>
      <c r="BY59" s="17"/>
      <c r="BZ59" s="17"/>
    </row>
    <row r="60" spans="1:78">
      <c r="A60" s="19">
        <v>10.678157336951699</v>
      </c>
      <c r="B60" s="19">
        <v>5.8329258111339772</v>
      </c>
      <c r="C60" s="122"/>
      <c r="D60" s="19"/>
      <c r="E60" s="123">
        <v>1.7520967378688534E-6</v>
      </c>
      <c r="F60" s="123">
        <v>9.7789445660043037E-2</v>
      </c>
      <c r="G60" s="123">
        <v>0.65192963779668656</v>
      </c>
      <c r="H60" s="123">
        <v>0.3480703622033135</v>
      </c>
      <c r="I60" s="125"/>
      <c r="J60" s="125">
        <v>1.9321307659655258</v>
      </c>
      <c r="K60" s="125"/>
      <c r="L60" s="125"/>
      <c r="M60" s="125"/>
      <c r="N60" s="125"/>
      <c r="O60" s="125"/>
      <c r="P60" s="125"/>
      <c r="Q60" s="125">
        <v>0.99999999985398091</v>
      </c>
      <c r="R60" s="125"/>
      <c r="S60" s="125">
        <v>3.7026349438433581E-2</v>
      </c>
      <c r="T60" s="125">
        <v>1.7403518110165675E-2</v>
      </c>
      <c r="U60" s="125">
        <v>0.83852518461666548</v>
      </c>
      <c r="V60" s="125">
        <v>5.7564419189654288</v>
      </c>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v>9.9824373712181114</v>
      </c>
      <c r="BB60" s="17">
        <v>6.8554397171627715</v>
      </c>
      <c r="BC60" s="17">
        <v>9.9992118965019472</v>
      </c>
      <c r="BD60" s="17">
        <v>5.6531338128240902</v>
      </c>
      <c r="BE60" s="17"/>
      <c r="BF60" s="17"/>
      <c r="BG60" s="17"/>
      <c r="BH60" s="17"/>
      <c r="BI60" s="17"/>
      <c r="BJ60" s="17"/>
      <c r="BK60" s="17"/>
      <c r="BL60" s="17"/>
      <c r="BM60" s="17"/>
      <c r="BN60" s="17"/>
      <c r="BO60" s="17"/>
      <c r="BP60" s="17"/>
      <c r="BQ60" s="17"/>
      <c r="BR60" s="17"/>
      <c r="BS60" s="17"/>
      <c r="BT60" s="17"/>
      <c r="BU60" s="17"/>
      <c r="BV60" s="17"/>
      <c r="BW60" s="17"/>
      <c r="BX60" s="17"/>
      <c r="BY60" s="17"/>
      <c r="BZ60" s="17"/>
    </row>
    <row r="61" spans="1:78">
      <c r="A61" s="19">
        <v>11.071775054733735</v>
      </c>
      <c r="B61" s="19">
        <v>6.0448065155412518</v>
      </c>
      <c r="C61" s="122"/>
      <c r="D61" s="19"/>
      <c r="E61" s="123">
        <v>1.079556948086274E-6</v>
      </c>
      <c r="F61" s="123">
        <v>9.6550647484383495E-2</v>
      </c>
      <c r="G61" s="123">
        <v>0.64367098325429262</v>
      </c>
      <c r="H61" s="123">
        <v>0.35632901674570738</v>
      </c>
      <c r="I61" s="125"/>
      <c r="J61" s="125">
        <v>1.8927893662376822</v>
      </c>
      <c r="K61" s="125"/>
      <c r="L61" s="125"/>
      <c r="M61" s="125"/>
      <c r="N61" s="125"/>
      <c r="O61" s="125"/>
      <c r="P61" s="125"/>
      <c r="Q61" s="125">
        <v>0.99999999976129661</v>
      </c>
      <c r="R61" s="125"/>
      <c r="S61" s="125">
        <v>3.9087448050732512E-2</v>
      </c>
      <c r="T61" s="125">
        <v>1.7816450837285371E-2</v>
      </c>
      <c r="U61" s="125">
        <v>0.83550284048490508</v>
      </c>
      <c r="V61" s="125">
        <v>5.9667544431053106</v>
      </c>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v>9.999968706688378</v>
      </c>
      <c r="BB61" s="17">
        <v>7.0375037897783503</v>
      </c>
      <c r="BC61" s="17">
        <v>9.9995325042982586</v>
      </c>
      <c r="BD61" s="17">
        <v>5.8783235173525084</v>
      </c>
      <c r="BE61" s="17"/>
      <c r="BF61" s="17"/>
      <c r="BG61" s="17"/>
      <c r="BH61" s="17"/>
      <c r="BI61" s="17"/>
      <c r="BJ61" s="17"/>
      <c r="BK61" s="17"/>
      <c r="BL61" s="17"/>
      <c r="BM61" s="17"/>
      <c r="BN61" s="17"/>
      <c r="BO61" s="17"/>
      <c r="BP61" s="17"/>
      <c r="BQ61" s="17"/>
      <c r="BR61" s="17"/>
      <c r="BS61" s="17"/>
      <c r="BT61" s="17"/>
      <c r="BU61" s="17"/>
      <c r="BV61" s="17"/>
      <c r="BW61" s="17"/>
      <c r="BX61" s="17"/>
      <c r="BY61" s="17"/>
      <c r="BZ61" s="17"/>
    </row>
    <row r="62" spans="1:78">
      <c r="A62" s="19">
        <v>11.659035268530715</v>
      </c>
      <c r="B62" s="19">
        <v>6.2572748607294768</v>
      </c>
      <c r="C62" s="122"/>
      <c r="D62" s="19"/>
      <c r="E62" s="123">
        <v>6.6517058046630964E-7</v>
      </c>
      <c r="F62" s="123">
        <v>9.4759678380543721E-2</v>
      </c>
      <c r="G62" s="123">
        <v>0.63173118919895954</v>
      </c>
      <c r="H62" s="123">
        <v>0.36826881080104046</v>
      </c>
      <c r="I62" s="125"/>
      <c r="J62" s="125">
        <v>1.8340761082154369</v>
      </c>
      <c r="K62" s="125"/>
      <c r="L62" s="125"/>
      <c r="M62" s="125"/>
      <c r="N62" s="125"/>
      <c r="O62" s="125"/>
      <c r="P62" s="125"/>
      <c r="Q62" s="125">
        <v>0.99999999960872443</v>
      </c>
      <c r="R62" s="125"/>
      <c r="S62" s="125">
        <v>4.2070224608764181E-2</v>
      </c>
      <c r="T62" s="125">
        <v>1.8413440540052024E-2</v>
      </c>
      <c r="U62" s="125">
        <v>0.83136571355906042</v>
      </c>
      <c r="V62" s="125">
        <v>6.1770669672451914</v>
      </c>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v>10.017501802940387</v>
      </c>
      <c r="BB62" s="17">
        <v>7.2195778494024481</v>
      </c>
      <c r="BC62" s="17">
        <v>9.9997245837585069</v>
      </c>
      <c r="BD62" s="17">
        <v>6.1035133445166174</v>
      </c>
      <c r="BE62" s="17"/>
      <c r="BF62" s="17"/>
      <c r="BG62" s="17"/>
      <c r="BH62" s="17"/>
      <c r="BI62" s="17"/>
      <c r="BJ62" s="17"/>
      <c r="BK62" s="17"/>
      <c r="BL62" s="17"/>
      <c r="BM62" s="17"/>
      <c r="BN62" s="17"/>
      <c r="BO62" s="17"/>
      <c r="BP62" s="17"/>
      <c r="BQ62" s="17"/>
      <c r="BR62" s="17"/>
      <c r="BS62" s="17"/>
      <c r="BT62" s="17"/>
      <c r="BU62" s="17"/>
      <c r="BV62" s="17"/>
      <c r="BW62" s="17"/>
      <c r="BX62" s="17"/>
      <c r="BY62" s="17"/>
      <c r="BZ62" s="17"/>
    </row>
    <row r="63" spans="1:78">
      <c r="A63" s="19">
        <v>12.487507292826194</v>
      </c>
      <c r="B63" s="19">
        <v>6.4703073210120445</v>
      </c>
      <c r="C63" s="122"/>
      <c r="D63" s="19"/>
      <c r="E63" s="123">
        <v>4.0984581860384471E-7</v>
      </c>
      <c r="F63" s="123">
        <v>9.2343188200550042E-2</v>
      </c>
      <c r="G63" s="123">
        <v>0.61562125462055683</v>
      </c>
      <c r="H63" s="123">
        <v>0.38437874537944311</v>
      </c>
      <c r="I63" s="125"/>
      <c r="J63" s="125">
        <v>1.7512371261172854</v>
      </c>
      <c r="K63" s="125"/>
      <c r="L63" s="125"/>
      <c r="M63" s="125"/>
      <c r="N63" s="125"/>
      <c r="O63" s="125"/>
      <c r="P63" s="125"/>
      <c r="Q63" s="125">
        <v>0.99999999935696426</v>
      </c>
      <c r="R63" s="125"/>
      <c r="S63" s="125">
        <v>4.6096405729461054E-2</v>
      </c>
      <c r="T63" s="125">
        <v>1.9218937268972155E-2</v>
      </c>
      <c r="U63" s="125">
        <v>0.82617523704025875</v>
      </c>
      <c r="V63" s="125">
        <v>6.3873794913850723</v>
      </c>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v>10.038132137560751</v>
      </c>
      <c r="BB63" s="17">
        <v>7.4016727738094703</v>
      </c>
      <c r="BC63" s="17">
        <v>9.9998409408726729</v>
      </c>
      <c r="BD63" s="17">
        <v>6.3287032462111243</v>
      </c>
      <c r="BE63" s="17"/>
      <c r="BF63" s="17"/>
      <c r="BG63" s="17"/>
      <c r="BH63" s="17"/>
      <c r="BI63" s="17"/>
      <c r="BJ63" s="17"/>
      <c r="BK63" s="17"/>
      <c r="BL63" s="17"/>
      <c r="BM63" s="17"/>
      <c r="BN63" s="17"/>
      <c r="BO63" s="17"/>
      <c r="BP63" s="17"/>
      <c r="BQ63" s="17"/>
      <c r="BR63" s="17"/>
      <c r="BS63" s="17"/>
      <c r="BT63" s="17"/>
      <c r="BU63" s="17"/>
      <c r="BV63" s="17"/>
      <c r="BW63" s="17"/>
      <c r="BX63" s="17"/>
      <c r="BY63" s="17"/>
      <c r="BZ63" s="17"/>
    </row>
    <row r="64" spans="1:78">
      <c r="A64" s="19">
        <v>13.560292513284367</v>
      </c>
      <c r="B64" s="19">
        <v>6.6836852438660559</v>
      </c>
      <c r="C64" s="122"/>
      <c r="D64" s="19"/>
      <c r="E64" s="123">
        <v>2.5252709599588691E-7</v>
      </c>
      <c r="F64" s="123">
        <v>8.9391354344866128E-2</v>
      </c>
      <c r="G64" s="123">
        <v>0.5959423623304384</v>
      </c>
      <c r="H64" s="123">
        <v>0.40405763766956165</v>
      </c>
      <c r="I64" s="125"/>
      <c r="J64" s="125">
        <v>1.6439642636135208</v>
      </c>
      <c r="K64" s="125"/>
      <c r="L64" s="125"/>
      <c r="M64" s="125"/>
      <c r="N64" s="125"/>
      <c r="O64" s="125"/>
      <c r="P64" s="125"/>
      <c r="Q64" s="125">
        <v>0.99999999894153024</v>
      </c>
      <c r="R64" s="125"/>
      <c r="S64" s="125">
        <v>5.1015375250874871E-2</v>
      </c>
      <c r="T64" s="125">
        <v>2.0202881883478085E-2</v>
      </c>
      <c r="U64" s="125">
        <v>0.82036434217435161</v>
      </c>
      <c r="V64" s="125">
        <v>6.5976920155249532</v>
      </c>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v>10.065490762644913</v>
      </c>
      <c r="BB64" s="17">
        <v>7.583802879029677</v>
      </c>
      <c r="BC64" s="17">
        <v>9.9999135694815777</v>
      </c>
      <c r="BD64" s="17">
        <v>6.5538931948217449</v>
      </c>
      <c r="BE64" s="17"/>
      <c r="BF64" s="17"/>
      <c r="BG64" s="17"/>
      <c r="BH64" s="17"/>
      <c r="BI64" s="17"/>
      <c r="BJ64" s="17"/>
      <c r="BK64" s="17"/>
      <c r="BL64" s="17"/>
      <c r="BM64" s="17"/>
      <c r="BN64" s="17"/>
      <c r="BO64" s="17"/>
      <c r="BP64" s="17"/>
      <c r="BQ64" s="17"/>
      <c r="BR64" s="17"/>
      <c r="BS64" s="17"/>
      <c r="BT64" s="17"/>
      <c r="BU64" s="17"/>
      <c r="BV64" s="17"/>
      <c r="BW64" s="17"/>
      <c r="BX64" s="17"/>
      <c r="BY64" s="17"/>
      <c r="BZ64" s="17"/>
    </row>
    <row r="65" spans="1:78">
      <c r="A65" s="19">
        <v>14.799194350780454</v>
      </c>
      <c r="B65" s="19">
        <v>6.8970304591995308</v>
      </c>
      <c r="C65" s="122"/>
      <c r="D65" s="19"/>
      <c r="E65" s="123">
        <v>1.5559493672364509E-7</v>
      </c>
      <c r="F65" s="123">
        <v>8.6208892356089029E-2</v>
      </c>
      <c r="G65" s="123">
        <v>0.57472594909047914</v>
      </c>
      <c r="H65" s="123">
        <v>0.42527405090952086</v>
      </c>
      <c r="I65" s="125"/>
      <c r="J65" s="125">
        <v>1.5200785461325177</v>
      </c>
      <c r="K65" s="125"/>
      <c r="L65" s="125"/>
      <c r="M65" s="125"/>
      <c r="N65" s="125"/>
      <c r="O65" s="125"/>
      <c r="P65" s="125"/>
      <c r="Q65" s="125">
        <v>0.99999999825796704</v>
      </c>
      <c r="R65" s="125"/>
      <c r="S65" s="125">
        <v>5.63190787741501E-2</v>
      </c>
      <c r="T65" s="125">
        <v>2.1263702545476045E-2</v>
      </c>
      <c r="U65" s="125">
        <v>0.81465566908873022</v>
      </c>
      <c r="V65" s="125">
        <v>6.808004539664835</v>
      </c>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v>10.104356806550641</v>
      </c>
      <c r="BB65" s="17">
        <v>7.7659881028362863</v>
      </c>
      <c r="BC65" s="17">
        <v>9.9999624319025315</v>
      </c>
      <c r="BD65" s="17">
        <v>6.7790831756342191</v>
      </c>
      <c r="BE65" s="17"/>
      <c r="BF65" s="17"/>
      <c r="BG65" s="17"/>
      <c r="BH65" s="17"/>
      <c r="BI65" s="17"/>
      <c r="BJ65" s="17"/>
      <c r="BK65" s="17"/>
      <c r="BL65" s="17"/>
      <c r="BM65" s="17"/>
      <c r="BN65" s="17"/>
      <c r="BO65" s="17"/>
      <c r="BP65" s="17"/>
      <c r="BQ65" s="17"/>
      <c r="BR65" s="17"/>
      <c r="BS65" s="17"/>
      <c r="BT65" s="17"/>
      <c r="BU65" s="17"/>
      <c r="BV65" s="17"/>
      <c r="BW65" s="17"/>
      <c r="BX65" s="17"/>
      <c r="BY65" s="17"/>
      <c r="BZ65" s="17"/>
    </row>
    <row r="66" spans="1:78">
      <c r="A66" s="19">
        <v>16.054576211899985</v>
      </c>
      <c r="B66" s="19">
        <v>7.1099804688999608</v>
      </c>
      <c r="C66" s="122"/>
      <c r="D66" s="19"/>
      <c r="E66" s="123">
        <v>9.5870046097665088E-8</v>
      </c>
      <c r="F66" s="123">
        <v>8.3207190746726917E-2</v>
      </c>
      <c r="G66" s="123">
        <v>0.55471460492695202</v>
      </c>
      <c r="H66" s="123">
        <v>0.44528539507304793</v>
      </c>
      <c r="I66" s="125"/>
      <c r="J66" s="125">
        <v>1.394544702677335</v>
      </c>
      <c r="K66" s="125"/>
      <c r="L66" s="125"/>
      <c r="M66" s="125"/>
      <c r="N66" s="125"/>
      <c r="O66" s="125"/>
      <c r="P66" s="125"/>
      <c r="Q66" s="125">
        <v>0.99999999713816978</v>
      </c>
      <c r="R66" s="125"/>
      <c r="S66" s="125">
        <v>6.132175448387242E-2</v>
      </c>
      <c r="T66" s="125">
        <v>2.2264269753652397E-2</v>
      </c>
      <c r="U66" s="125">
        <v>0.80972322954836573</v>
      </c>
      <c r="V66" s="125">
        <v>7.0183170638047159</v>
      </c>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v>10.161435448389966</v>
      </c>
      <c r="BB66" s="17">
        <v>7.9482567330789253</v>
      </c>
      <c r="BC66" s="17">
        <v>10.000000968284439</v>
      </c>
      <c r="BD66" s="17">
        <v>7.0042731827829474</v>
      </c>
      <c r="BE66" s="17"/>
      <c r="BF66" s="17"/>
      <c r="BG66" s="17"/>
      <c r="BH66" s="17"/>
      <c r="BI66" s="17"/>
      <c r="BJ66" s="17"/>
      <c r="BK66" s="17"/>
      <c r="BL66" s="17"/>
      <c r="BM66" s="17"/>
      <c r="BN66" s="17"/>
      <c r="BO66" s="17"/>
      <c r="BP66" s="17"/>
      <c r="BQ66" s="17"/>
      <c r="BR66" s="17"/>
      <c r="BS66" s="17"/>
      <c r="BT66" s="17"/>
      <c r="BU66" s="17"/>
      <c r="BV66" s="17"/>
      <c r="BW66" s="17"/>
      <c r="BX66" s="17"/>
      <c r="BY66" s="17"/>
      <c r="BZ66" s="17"/>
    </row>
    <row r="67" spans="1:78">
      <c r="A67" s="19">
        <v>17.173922529036645</v>
      </c>
      <c r="B67" s="19">
        <v>7.322349098093679</v>
      </c>
      <c r="C67" s="122"/>
      <c r="D67" s="19"/>
      <c r="E67" s="123">
        <v>5.9070468051880387E-8</v>
      </c>
      <c r="F67" s="123">
        <v>8.0701733796409311E-2</v>
      </c>
      <c r="G67" s="123">
        <v>0.53801155860254024</v>
      </c>
      <c r="H67" s="123">
        <v>0.46198844139745976</v>
      </c>
      <c r="I67" s="125"/>
      <c r="J67" s="125">
        <v>1.2826153161372773</v>
      </c>
      <c r="K67" s="125"/>
      <c r="L67" s="125"/>
      <c r="M67" s="125"/>
      <c r="N67" s="125"/>
      <c r="O67" s="125"/>
      <c r="P67" s="125"/>
      <c r="Q67" s="125">
        <v>0.9999999953111256</v>
      </c>
      <c r="R67" s="125"/>
      <c r="S67" s="125">
        <v>6.5497539457913548E-2</v>
      </c>
      <c r="T67" s="125">
        <v>2.3099422069872991E-2</v>
      </c>
      <c r="U67" s="125">
        <v>0.80589877130568754</v>
      </c>
      <c r="V67" s="125">
        <v>7.2286295879445968</v>
      </c>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v>10.24638257076731</v>
      </c>
      <c r="BB67" s="17">
        <v>8.1306486159801228</v>
      </c>
      <c r="BC67" s="17">
        <v>10.000039772421587</v>
      </c>
      <c r="BD67" s="17">
        <v>7.2294632176513396</v>
      </c>
      <c r="BE67" s="17"/>
      <c r="BF67" s="17"/>
      <c r="BG67" s="17"/>
      <c r="BH67" s="17"/>
      <c r="BI67" s="17"/>
      <c r="BJ67" s="17"/>
      <c r="BK67" s="17"/>
      <c r="BL67" s="17"/>
      <c r="BM67" s="17"/>
      <c r="BN67" s="17"/>
      <c r="BO67" s="17"/>
      <c r="BP67" s="17"/>
      <c r="BQ67" s="17"/>
      <c r="BR67" s="17"/>
      <c r="BS67" s="17"/>
      <c r="BT67" s="17"/>
      <c r="BU67" s="17"/>
      <c r="BV67" s="17"/>
      <c r="BW67" s="17"/>
      <c r="BX67" s="17"/>
      <c r="BY67" s="17"/>
      <c r="BZ67" s="17"/>
    </row>
    <row r="68" spans="1:78">
      <c r="A68" s="19">
        <v>18.068469061108772</v>
      </c>
      <c r="B68" s="19">
        <v>7.5341386806955644</v>
      </c>
      <c r="C68" s="122"/>
      <c r="D68" s="19"/>
      <c r="E68" s="123">
        <v>3.63963546269036E-8</v>
      </c>
      <c r="F68" s="123">
        <v>7.8805375527832094E-2</v>
      </c>
      <c r="G68" s="123">
        <v>0.52536917014264017</v>
      </c>
      <c r="H68" s="123">
        <v>0.47463082985735983</v>
      </c>
      <c r="I68" s="125"/>
      <c r="J68" s="125">
        <v>1.1931680490631926</v>
      </c>
      <c r="K68" s="125"/>
      <c r="L68" s="125"/>
      <c r="M68" s="125"/>
      <c r="N68" s="125"/>
      <c r="O68" s="125"/>
      <c r="P68" s="125"/>
      <c r="Q68" s="125">
        <v>0.99999999233812187</v>
      </c>
      <c r="R68" s="125"/>
      <c r="S68" s="125">
        <v>6.8658336704621972E-2</v>
      </c>
      <c r="T68" s="125">
        <v>2.3731541492867991E-2</v>
      </c>
      <c r="U68" s="125">
        <v>0.8031625228469671</v>
      </c>
      <c r="V68" s="125">
        <v>7.4389421120844785</v>
      </c>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v>10.373125404294115</v>
      </c>
      <c r="BB68" s="17">
        <v>8.3132182670395611</v>
      </c>
      <c r="BC68" s="17">
        <v>10.000089510867838</v>
      </c>
      <c r="BD68" s="17">
        <v>7.454653289233244</v>
      </c>
      <c r="BE68" s="17"/>
      <c r="BF68" s="17"/>
      <c r="BG68" s="17"/>
      <c r="BH68" s="17"/>
      <c r="BI68" s="17"/>
      <c r="BJ68" s="17"/>
      <c r="BK68" s="17"/>
      <c r="BL68" s="17"/>
      <c r="BM68" s="17"/>
      <c r="BN68" s="17"/>
      <c r="BO68" s="17"/>
      <c r="BP68" s="17"/>
      <c r="BQ68" s="17"/>
      <c r="BR68" s="17"/>
      <c r="BS68" s="17"/>
      <c r="BT68" s="17"/>
      <c r="BU68" s="17"/>
      <c r="BV68" s="17"/>
      <c r="BW68" s="17"/>
      <c r="BX68" s="17"/>
      <c r="BY68" s="17"/>
      <c r="BZ68" s="17"/>
    </row>
    <row r="69" spans="1:78">
      <c r="A69" s="19">
        <v>18.725484058086295</v>
      </c>
      <c r="B69" s="19">
        <v>7.7454546772478645</v>
      </c>
      <c r="C69" s="122"/>
      <c r="D69" s="19"/>
      <c r="E69" s="123">
        <v>2.2425666730181951E-8</v>
      </c>
      <c r="F69" s="123">
        <v>7.7468366709987968E-2</v>
      </c>
      <c r="G69" s="123">
        <v>0.51645577804139142</v>
      </c>
      <c r="H69" s="123">
        <v>0.48354422195860858</v>
      </c>
      <c r="I69" s="125"/>
      <c r="J69" s="125">
        <v>1.1274778293216763</v>
      </c>
      <c r="K69" s="125"/>
      <c r="L69" s="125"/>
      <c r="M69" s="125"/>
      <c r="N69" s="125"/>
      <c r="O69" s="125"/>
      <c r="P69" s="125"/>
      <c r="Q69" s="125">
        <v>0.9999999875073462</v>
      </c>
      <c r="R69" s="125"/>
      <c r="S69" s="125">
        <v>7.0887102111862943E-2</v>
      </c>
      <c r="T69" s="125">
        <v>2.4177211097930432E-2</v>
      </c>
      <c r="U69" s="125">
        <v>0.8013088934681164</v>
      </c>
      <c r="V69" s="125">
        <v>7.6492546362243594</v>
      </c>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v>10.561402533494402</v>
      </c>
      <c r="BB69" s="17">
        <v>8.4960361896367385</v>
      </c>
      <c r="BC69" s="17">
        <v>10.000163859513123</v>
      </c>
      <c r="BD69" s="17">
        <v>7.6798434166235827</v>
      </c>
      <c r="BE69" s="17"/>
      <c r="BF69" s="17"/>
      <c r="BG69" s="17"/>
      <c r="BH69" s="17"/>
      <c r="BI69" s="17"/>
      <c r="BJ69" s="17"/>
      <c r="BK69" s="17"/>
      <c r="BL69" s="17"/>
      <c r="BM69" s="17"/>
      <c r="BN69" s="17"/>
      <c r="BO69" s="17"/>
      <c r="BP69" s="17"/>
      <c r="BQ69" s="17"/>
      <c r="BR69" s="17"/>
      <c r="BS69" s="17"/>
      <c r="BT69" s="17"/>
      <c r="BU69" s="17"/>
      <c r="BV69" s="17"/>
      <c r="BW69" s="17"/>
      <c r="BX69" s="17"/>
      <c r="BY69" s="17"/>
      <c r="BZ69" s="17"/>
    </row>
    <row r="70" spans="1:78">
      <c r="A70" s="19">
        <v>19.179874857945833</v>
      </c>
      <c r="B70" s="19">
        <v>7.9564249462523851</v>
      </c>
      <c r="C70" s="122"/>
      <c r="D70" s="19"/>
      <c r="E70" s="123">
        <v>1.3817607105120531E-8</v>
      </c>
      <c r="F70" s="123">
        <v>7.65699229764885E-2</v>
      </c>
      <c r="G70" s="123">
        <v>0.5104661531403818</v>
      </c>
      <c r="H70" s="123">
        <v>0.48953384685961815</v>
      </c>
      <c r="I70" s="125"/>
      <c r="J70" s="125">
        <v>1.0820566130267448</v>
      </c>
      <c r="K70" s="125"/>
      <c r="L70" s="125"/>
      <c r="M70" s="125"/>
      <c r="N70" s="125"/>
      <c r="O70" s="125"/>
      <c r="P70" s="125"/>
      <c r="Q70" s="125">
        <v>0.99999997966319543</v>
      </c>
      <c r="R70" s="125"/>
      <c r="S70" s="125">
        <v>7.2385239007992153E-2</v>
      </c>
      <c r="T70" s="125">
        <v>2.4476692342980909E-2</v>
      </c>
      <c r="U70" s="125">
        <v>0.80009621890179861</v>
      </c>
      <c r="V70" s="125">
        <v>7.8595671603642403</v>
      </c>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v>10.838089119351935</v>
      </c>
      <c r="BB70" s="17">
        <v>8.6791847181656561</v>
      </c>
      <c r="BC70" s="17">
        <v>10.000283257977571</v>
      </c>
      <c r="BD70" s="17">
        <v>7.9050336342567364</v>
      </c>
      <c r="BE70" s="17"/>
      <c r="BF70" s="17"/>
      <c r="BG70" s="17"/>
      <c r="BH70" s="17"/>
      <c r="BI70" s="17"/>
      <c r="BJ70" s="17"/>
      <c r="BK70" s="17"/>
      <c r="BL70" s="17"/>
      <c r="BM70" s="17"/>
      <c r="BN70" s="17"/>
      <c r="BO70" s="17"/>
      <c r="BP70" s="17"/>
      <c r="BQ70" s="17"/>
      <c r="BR70" s="17"/>
      <c r="BS70" s="17"/>
      <c r="BT70" s="17"/>
      <c r="BU70" s="17"/>
      <c r="BV70" s="17"/>
      <c r="BW70" s="17"/>
      <c r="BX70" s="17"/>
      <c r="BY70" s="17"/>
      <c r="BZ70" s="17"/>
    </row>
    <row r="71" spans="1:78">
      <c r="A71" s="19">
        <v>19.48181740444852</v>
      </c>
      <c r="B71" s="19">
        <v>8.1671594790759396</v>
      </c>
      <c r="C71" s="122"/>
      <c r="D71" s="19"/>
      <c r="E71" s="123">
        <v>8.5137386731301119E-9</v>
      </c>
      <c r="F71" s="123">
        <v>7.5984344118970593E-2</v>
      </c>
      <c r="G71" s="123">
        <v>0.50656229412792164</v>
      </c>
      <c r="H71" s="123">
        <v>0.49343770587207841</v>
      </c>
      <c r="I71" s="125"/>
      <c r="J71" s="125">
        <v>1.0518910743528711</v>
      </c>
      <c r="K71" s="125"/>
      <c r="L71" s="125"/>
      <c r="M71" s="125"/>
      <c r="N71" s="125"/>
      <c r="O71" s="125"/>
      <c r="P71" s="125"/>
      <c r="Q71" s="125">
        <v>0.99999996692961501</v>
      </c>
      <c r="R71" s="125"/>
      <c r="S71" s="125">
        <v>7.3362420595501188E-2</v>
      </c>
      <c r="T71" s="125">
        <v>2.4671885293603923E-2</v>
      </c>
      <c r="U71" s="125">
        <v>0.79931913432483592</v>
      </c>
      <c r="V71" s="125">
        <v>8.0698796845041212</v>
      </c>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v>11.237055245146621</v>
      </c>
      <c r="BB71" s="17">
        <v>8.8627423063257744</v>
      </c>
      <c r="BC71" s="17">
        <v>10.000480541202705</v>
      </c>
      <c r="BD71" s="17">
        <v>8.1302240013857006</v>
      </c>
      <c r="BE71" s="17"/>
      <c r="BF71" s="17"/>
      <c r="BG71" s="17"/>
      <c r="BH71" s="17"/>
      <c r="BI71" s="17"/>
      <c r="BJ71" s="17"/>
      <c r="BK71" s="17"/>
      <c r="BL71" s="17"/>
      <c r="BM71" s="17"/>
      <c r="BN71" s="17"/>
      <c r="BO71" s="17"/>
      <c r="BP71" s="17"/>
      <c r="BQ71" s="17"/>
      <c r="BR71" s="17"/>
      <c r="BS71" s="17"/>
      <c r="BT71" s="17"/>
      <c r="BU71" s="17"/>
      <c r="BV71" s="17"/>
      <c r="BW71" s="17"/>
      <c r="BX71" s="17"/>
      <c r="BY71" s="17"/>
      <c r="BZ71" s="17"/>
    </row>
    <row r="72" spans="1:78">
      <c r="A72" s="19">
        <v>19.677734184369911</v>
      </c>
      <c r="B72" s="19">
        <v>8.377740060160809</v>
      </c>
      <c r="C72" s="122"/>
      <c r="D72" s="19"/>
      <c r="E72" s="123">
        <v>5.2457524405575323E-9</v>
      </c>
      <c r="F72" s="123">
        <v>7.5609156158262886E-2</v>
      </c>
      <c r="G72" s="123">
        <v>0.50406104104465255</v>
      </c>
      <c r="H72" s="123">
        <v>0.49593895895534745</v>
      </c>
      <c r="I72" s="125"/>
      <c r="J72" s="125">
        <v>1.0323458324781427</v>
      </c>
      <c r="K72" s="125"/>
      <c r="L72" s="125"/>
      <c r="M72" s="125"/>
      <c r="N72" s="125"/>
      <c r="O72" s="125"/>
      <c r="P72" s="125"/>
      <c r="Q72" s="125">
        <v>0.99999994626121036</v>
      </c>
      <c r="R72" s="125"/>
      <c r="S72" s="125">
        <v>7.3989726593303135E-2</v>
      </c>
      <c r="T72" s="125">
        <v>2.4796947947767375E-2</v>
      </c>
      <c r="U72" s="125">
        <v>0.79882592767598981</v>
      </c>
      <c r="V72" s="125">
        <v>8.280192208644003</v>
      </c>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v>11.794926707807463</v>
      </c>
      <c r="BB72" s="17">
        <v>9.04675039255517</v>
      </c>
      <c r="BC72" s="17">
        <v>10.000809955818113</v>
      </c>
      <c r="BD72" s="17">
        <v>8.3554146183559563</v>
      </c>
      <c r="BE72" s="17"/>
      <c r="BF72" s="17"/>
      <c r="BG72" s="17"/>
      <c r="BH72" s="17"/>
      <c r="BI72" s="17"/>
      <c r="BJ72" s="17"/>
      <c r="BK72" s="17"/>
      <c r="BL72" s="17"/>
      <c r="BM72" s="17"/>
      <c r="BN72" s="17"/>
      <c r="BO72" s="17"/>
      <c r="BP72" s="17"/>
      <c r="BQ72" s="17"/>
      <c r="BR72" s="17"/>
      <c r="BS72" s="17"/>
      <c r="BT72" s="17"/>
      <c r="BU72" s="17"/>
      <c r="BV72" s="17"/>
      <c r="BW72" s="17"/>
      <c r="BX72" s="17"/>
      <c r="BY72" s="17"/>
      <c r="BZ72" s="17"/>
    </row>
    <row r="73" spans="1:78">
      <c r="A73" s="19">
        <v>19.803712518478278</v>
      </c>
      <c r="B73" s="19">
        <v>8.5882232426729104</v>
      </c>
      <c r="C73" s="122"/>
      <c r="D73" s="19"/>
      <c r="E73" s="123">
        <v>3.2321779800998213E-9</v>
      </c>
      <c r="F73" s="123">
        <v>7.5369853973835776E-2</v>
      </c>
      <c r="G73" s="123">
        <v>0.50246569311805067</v>
      </c>
      <c r="H73" s="123">
        <v>0.49753430688194938</v>
      </c>
      <c r="I73" s="125"/>
      <c r="J73" s="125">
        <v>1.0198232681474633</v>
      </c>
      <c r="K73" s="125"/>
      <c r="L73" s="125"/>
      <c r="M73" s="125"/>
      <c r="N73" s="125"/>
      <c r="O73" s="125"/>
      <c r="P73" s="125"/>
      <c r="Q73" s="125">
        <v>0.99999991271457989</v>
      </c>
      <c r="R73" s="125"/>
      <c r="S73" s="125">
        <v>7.4391807070381372E-2</v>
      </c>
      <c r="T73" s="125">
        <v>2.487671534409747E-2</v>
      </c>
      <c r="U73" s="125">
        <v>0.79851208637451476</v>
      </c>
      <c r="V73" s="125">
        <v>8.490504732783883</v>
      </c>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v>12.539179688610602</v>
      </c>
      <c r="BB73" s="17">
        <v>9.231166912280317</v>
      </c>
      <c r="BC73" s="17">
        <v>10.001362081675325</v>
      </c>
      <c r="BD73" s="17">
        <v>8.5806056541966989</v>
      </c>
      <c r="BE73" s="17"/>
      <c r="BF73" s="17"/>
      <c r="BG73" s="17"/>
      <c r="BH73" s="17"/>
      <c r="BI73" s="17"/>
      <c r="BJ73" s="17"/>
      <c r="BK73" s="17"/>
      <c r="BL73" s="17"/>
      <c r="BM73" s="17"/>
      <c r="BN73" s="17"/>
      <c r="BO73" s="17"/>
      <c r="BP73" s="17"/>
      <c r="BQ73" s="17"/>
      <c r="BR73" s="17"/>
      <c r="BS73" s="17"/>
      <c r="BT73" s="17"/>
      <c r="BU73" s="17"/>
      <c r="BV73" s="17"/>
      <c r="BW73" s="17"/>
      <c r="BX73" s="17"/>
      <c r="BY73" s="17"/>
      <c r="BZ73" s="17"/>
    </row>
    <row r="74" spans="1:78">
      <c r="A74" s="19">
        <v>19.885540132236201</v>
      </c>
      <c r="B74" s="19">
        <v>8.7986468997393832</v>
      </c>
      <c r="C74" s="122"/>
      <c r="D74" s="19"/>
      <c r="E74" s="123">
        <v>1.991511153723409E-9</v>
      </c>
      <c r="F74" s="123">
        <v>7.5215228127087114E-2</v>
      </c>
      <c r="G74" s="123">
        <v>0.50143485415923861</v>
      </c>
      <c r="H74" s="123">
        <v>0.49856514584076145</v>
      </c>
      <c r="I74" s="125"/>
      <c r="J74" s="125">
        <v>1.0117626296371105</v>
      </c>
      <c r="K74" s="125"/>
      <c r="L74" s="125"/>
      <c r="M74" s="125"/>
      <c r="N74" s="125"/>
      <c r="O74" s="125"/>
      <c r="P74" s="125"/>
      <c r="Q74" s="125">
        <v>0.99999985826520721</v>
      </c>
      <c r="R74" s="125"/>
      <c r="S74" s="125">
        <v>7.4654783005522612E-2</v>
      </c>
      <c r="T74" s="125">
        <v>2.4928257292038073E-2</v>
      </c>
      <c r="U74" s="125">
        <v>0.79830777885493742</v>
      </c>
      <c r="V74" s="125">
        <v>8.7008172569237647</v>
      </c>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v>13.468123345228378</v>
      </c>
      <c r="BB74" s="17">
        <v>9.4158342111909406</v>
      </c>
      <c r="BC74" s="17">
        <v>10.002288770920131</v>
      </c>
      <c r="BD74" s="17">
        <v>8.8057973930797129</v>
      </c>
      <c r="BE74" s="17"/>
      <c r="BF74" s="17"/>
      <c r="BG74" s="17"/>
      <c r="BH74" s="17"/>
      <c r="BI74" s="17"/>
      <c r="BJ74" s="17"/>
      <c r="BK74" s="17"/>
      <c r="BL74" s="17"/>
      <c r="BM74" s="17"/>
      <c r="BN74" s="17"/>
      <c r="BO74" s="17"/>
      <c r="BP74" s="17"/>
      <c r="BQ74" s="17"/>
      <c r="BR74" s="17"/>
      <c r="BS74" s="17"/>
      <c r="BT74" s="17"/>
      <c r="BU74" s="17"/>
      <c r="BV74" s="17"/>
      <c r="BW74" s="17"/>
      <c r="BX74" s="17"/>
      <c r="BY74" s="17"/>
      <c r="BZ74" s="17"/>
    </row>
    <row r="75" spans="1:78">
      <c r="A75" s="19">
        <v>19.941073826339561</v>
      </c>
      <c r="B75" s="19">
        <v>9.0090364657241615</v>
      </c>
      <c r="C75" s="122"/>
      <c r="D75" s="19"/>
      <c r="E75" s="123">
        <v>1.2270724879086809E-9</v>
      </c>
      <c r="F75" s="123">
        <v>7.511064958031835E-2</v>
      </c>
      <c r="G75" s="123">
        <v>0.50073766384523488</v>
      </c>
      <c r="H75" s="123">
        <v>0.49926233615476506</v>
      </c>
      <c r="I75" s="125"/>
      <c r="J75" s="125">
        <v>1.0064075005687112</v>
      </c>
      <c r="K75" s="125"/>
      <c r="L75" s="125"/>
      <c r="M75" s="125"/>
      <c r="N75" s="125"/>
      <c r="O75" s="125"/>
      <c r="P75" s="125"/>
      <c r="Q75" s="125">
        <v>0.99999976988599959</v>
      </c>
      <c r="R75" s="125"/>
      <c r="S75" s="125">
        <v>7.4837619280061482E-2</v>
      </c>
      <c r="T75" s="125">
        <v>2.4963116807738255E-2</v>
      </c>
      <c r="U75" s="125">
        <v>0.79816617529031508</v>
      </c>
      <c r="V75" s="125">
        <v>8.9111297810636465</v>
      </c>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v>14.532993528700899</v>
      </c>
      <c r="BB75" s="17">
        <v>9.60050443993714</v>
      </c>
      <c r="BC75" s="17">
        <v>10.003844932361972</v>
      </c>
      <c r="BD75" s="17">
        <v>9.0309903124075408</v>
      </c>
      <c r="BE75" s="17"/>
      <c r="BF75" s="17"/>
      <c r="BG75" s="17"/>
      <c r="BH75" s="17"/>
      <c r="BI75" s="17"/>
      <c r="BJ75" s="17"/>
      <c r="BK75" s="17"/>
      <c r="BL75" s="17"/>
      <c r="BM75" s="17"/>
      <c r="BN75" s="17"/>
      <c r="BO75" s="17"/>
      <c r="BP75" s="17"/>
      <c r="BQ75" s="17"/>
      <c r="BR75" s="17"/>
      <c r="BS75" s="17"/>
      <c r="BT75" s="17"/>
      <c r="BU75" s="17"/>
      <c r="BV75" s="17"/>
      <c r="BW75" s="17"/>
      <c r="BX75" s="17"/>
      <c r="BY75" s="17"/>
      <c r="BZ75" s="17"/>
    </row>
    <row r="76" spans="1:78">
      <c r="A76" s="19">
        <v>19.982924718351569</v>
      </c>
      <c r="B76" s="19">
        <v>9.2194099000282304</v>
      </c>
      <c r="C76" s="122"/>
      <c r="D76" s="19"/>
      <c r="E76" s="123">
        <v>7.5606249443658725E-10</v>
      </c>
      <c r="F76" s="123">
        <v>7.5032029822032276E-2</v>
      </c>
      <c r="G76" s="123">
        <v>0.50021353219186093</v>
      </c>
      <c r="H76" s="123">
        <v>0.49978646780813901</v>
      </c>
      <c r="I76" s="125"/>
      <c r="J76" s="125">
        <v>1.0025443324299399</v>
      </c>
      <c r="K76" s="125"/>
      <c r="L76" s="125"/>
      <c r="M76" s="125"/>
      <c r="N76" s="125"/>
      <c r="O76" s="125"/>
      <c r="P76" s="125"/>
      <c r="Q76" s="125">
        <v>0.99999962642541329</v>
      </c>
      <c r="R76" s="125"/>
      <c r="S76" s="125">
        <v>7.4982480405201793E-2</v>
      </c>
      <c r="T76" s="125">
        <v>2.4989323390406951E-2</v>
      </c>
      <c r="U76" s="125">
        <v>0.79805423967114386</v>
      </c>
      <c r="V76" s="125">
        <v>9.1214423052035265</v>
      </c>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v>15.64163693547016</v>
      </c>
      <c r="BB76" s="17">
        <v>9.7849285539922946</v>
      </c>
      <c r="BC76" s="17">
        <v>10.006458779389504</v>
      </c>
      <c r="BD76" s="17">
        <v>9.2561852139633451</v>
      </c>
      <c r="BE76" s="17"/>
      <c r="BF76" s="17"/>
      <c r="BG76" s="17"/>
      <c r="BH76" s="17"/>
      <c r="BI76" s="17"/>
      <c r="BJ76" s="17"/>
      <c r="BK76" s="17"/>
      <c r="BL76" s="17"/>
      <c r="BM76" s="17"/>
      <c r="BN76" s="17"/>
      <c r="BO76" s="17"/>
      <c r="BP76" s="17"/>
      <c r="BQ76" s="17"/>
      <c r="BR76" s="17"/>
      <c r="BS76" s="17"/>
      <c r="BT76" s="17"/>
      <c r="BU76" s="17"/>
      <c r="BV76" s="17"/>
      <c r="BW76" s="17"/>
      <c r="BX76" s="17"/>
      <c r="BY76" s="17"/>
      <c r="BZ76" s="17"/>
    </row>
    <row r="77" spans="1:78">
      <c r="A77" s="19">
        <v>20.020832466252614</v>
      </c>
      <c r="B77" s="19">
        <v>9.4297815209616029</v>
      </c>
      <c r="C77" s="122"/>
      <c r="D77" s="19"/>
      <c r="E77" s="123">
        <v>4.6584900332001656E-10</v>
      </c>
      <c r="F77" s="123">
        <v>7.4960959461030541E-2</v>
      </c>
      <c r="G77" s="123">
        <v>0.4997397297054651</v>
      </c>
      <c r="H77" s="123">
        <v>0.5002602702945349</v>
      </c>
      <c r="I77" s="125"/>
      <c r="J77" s="125">
        <v>0.99927655747917676</v>
      </c>
      <c r="K77" s="125"/>
      <c r="L77" s="125"/>
      <c r="M77" s="125"/>
      <c r="N77" s="125"/>
      <c r="O77" s="125"/>
      <c r="P77" s="125"/>
      <c r="Q77" s="125">
        <v>0.99999939353192902</v>
      </c>
      <c r="R77" s="125"/>
      <c r="S77" s="125">
        <v>7.5123290084742375E-2</v>
      </c>
      <c r="T77" s="125">
        <v>2.5013013514726748E-2</v>
      </c>
      <c r="U77" s="125">
        <v>0.79794565151730268</v>
      </c>
      <c r="V77" s="125">
        <v>9.3317548293434083</v>
      </c>
      <c r="W77" s="17"/>
      <c r="X77" s="17"/>
      <c r="Y77" s="999"/>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v>16.690479229146149</v>
      </c>
      <c r="BB77" s="17">
        <v>9.9689466492654955</v>
      </c>
      <c r="BC77" s="17">
        <v>10.010849985701498</v>
      </c>
      <c r="BD77" s="17">
        <v>9.4813834440142948</v>
      </c>
      <c r="BE77" s="17"/>
      <c r="BF77" s="17"/>
      <c r="BG77" s="17"/>
      <c r="BH77" s="17"/>
      <c r="BI77" s="17"/>
      <c r="BJ77" s="17"/>
      <c r="BK77" s="17"/>
      <c r="BL77" s="17"/>
      <c r="BM77" s="17"/>
      <c r="BN77" s="17"/>
      <c r="BO77" s="17"/>
      <c r="BP77" s="17"/>
      <c r="BQ77" s="17"/>
      <c r="BR77" s="17"/>
      <c r="BS77" s="17"/>
      <c r="BT77" s="17"/>
      <c r="BU77" s="17"/>
      <c r="BV77" s="17"/>
      <c r="BW77" s="17"/>
      <c r="BX77" s="17"/>
      <c r="BY77" s="17"/>
      <c r="BZ77" s="17"/>
    </row>
    <row r="78" spans="1:78">
      <c r="A78" s="19">
        <v>20.063731157279108</v>
      </c>
      <c r="B78" s="19">
        <v>9.6401651822701666</v>
      </c>
      <c r="C78" s="122"/>
      <c r="D78" s="19"/>
      <c r="E78" s="123">
        <v>2.8703353954354157E-10</v>
      </c>
      <c r="F78" s="123">
        <v>7.488069417186588E-2</v>
      </c>
      <c r="G78" s="123">
        <v>0.4992046277656742</v>
      </c>
      <c r="H78" s="123">
        <v>0.5007953722343258</v>
      </c>
      <c r="I78" s="125"/>
      <c r="J78" s="125">
        <v>0.99583692632100484</v>
      </c>
      <c r="K78" s="125"/>
      <c r="L78" s="125"/>
      <c r="M78" s="125"/>
      <c r="N78" s="125"/>
      <c r="O78" s="125"/>
      <c r="P78" s="125"/>
      <c r="Q78" s="125">
        <v>0.99999901539377878</v>
      </c>
      <c r="R78" s="125"/>
      <c r="S78" s="125">
        <v>7.5293130508879105E-2</v>
      </c>
      <c r="T78" s="125">
        <v>2.5039768611716293E-2</v>
      </c>
      <c r="U78" s="125">
        <v>0.79781495922021595</v>
      </c>
      <c r="V78" s="125">
        <v>9.54206735348329</v>
      </c>
      <c r="W78" s="17"/>
      <c r="X78" s="17"/>
      <c r="Y78" s="999"/>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v>17.603331759164575</v>
      </c>
      <c r="BB78" s="17">
        <v>10.152515464383894</v>
      </c>
      <c r="BC78" s="17">
        <v>10.018228740955237</v>
      </c>
      <c r="BD78" s="17">
        <v>9.7065872625598999</v>
      </c>
      <c r="BE78" s="17"/>
      <c r="BF78" s="17"/>
      <c r="BG78" s="17"/>
      <c r="BH78" s="17"/>
      <c r="BI78" s="17"/>
      <c r="BJ78" s="17"/>
      <c r="BK78" s="17"/>
      <c r="BL78" s="17"/>
      <c r="BM78" s="17"/>
      <c r="BN78" s="17"/>
      <c r="BO78" s="17"/>
      <c r="BP78" s="17"/>
      <c r="BQ78" s="17"/>
      <c r="BR78" s="17"/>
      <c r="BS78" s="17"/>
      <c r="BT78" s="17"/>
      <c r="BU78" s="17"/>
      <c r="BV78" s="17"/>
      <c r="BW78" s="17"/>
      <c r="BX78" s="17"/>
      <c r="BY78" s="17"/>
      <c r="BZ78" s="17"/>
    </row>
    <row r="79" spans="1:78">
      <c r="A79" s="19">
        <v>20.121755062427837</v>
      </c>
      <c r="B79" s="19">
        <v>9.8505773086917063</v>
      </c>
      <c r="C79" s="122"/>
      <c r="D79" s="19"/>
      <c r="E79" s="123">
        <v>1.7685613199927204E-10</v>
      </c>
      <c r="F79" s="123">
        <v>7.4772402042438943E-2</v>
      </c>
      <c r="G79" s="123">
        <v>0.49848268023558334</v>
      </c>
      <c r="H79" s="123">
        <v>0.50151731976441671</v>
      </c>
      <c r="I79" s="125"/>
      <c r="J79" s="125">
        <v>0.99141820142861292</v>
      </c>
      <c r="K79" s="125"/>
      <c r="L79" s="125"/>
      <c r="M79" s="125"/>
      <c r="N79" s="125"/>
      <c r="O79" s="125"/>
      <c r="P79" s="125"/>
      <c r="Q79" s="125">
        <v>0.99999840127400152</v>
      </c>
      <c r="R79" s="125"/>
      <c r="S79" s="125">
        <v>7.5531561737755368E-2</v>
      </c>
      <c r="T79" s="125">
        <v>2.5075865988220838E-2</v>
      </c>
      <c r="U79" s="125">
        <v>0.79763200714780247</v>
      </c>
      <c r="V79" s="125">
        <v>9.75237987762317</v>
      </c>
      <c r="W79" s="17"/>
      <c r="X79" s="17"/>
      <c r="Y79" s="999"/>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v>18.35030156216817</v>
      </c>
      <c r="BB79" s="17">
        <v>10.335676962617459</v>
      </c>
      <c r="BC79" s="17">
        <v>10.03063188836677</v>
      </c>
      <c r="BD79" s="17">
        <v>9.9318004621133511</v>
      </c>
      <c r="BE79" s="17"/>
      <c r="BF79" s="17"/>
      <c r="BG79" s="17"/>
      <c r="BH79" s="17"/>
      <c r="BI79" s="17"/>
      <c r="BJ79" s="17"/>
      <c r="BK79" s="17"/>
      <c r="BL79" s="17"/>
      <c r="BM79" s="17"/>
      <c r="BN79" s="17"/>
      <c r="BO79" s="17"/>
      <c r="BP79" s="17"/>
      <c r="BQ79" s="17"/>
      <c r="BR79" s="17"/>
      <c r="BS79" s="17"/>
      <c r="BT79" s="17"/>
      <c r="BU79" s="17"/>
      <c r="BV79" s="17"/>
      <c r="BW79" s="17"/>
      <c r="BX79" s="17"/>
      <c r="BY79" s="17"/>
      <c r="BZ79" s="17"/>
    </row>
    <row r="80" spans="1:78">
      <c r="A80" s="19">
        <v>20.208536063728388</v>
      </c>
      <c r="B80" s="19">
        <v>10.061040246754805</v>
      </c>
      <c r="C80" s="122"/>
      <c r="D80" s="19"/>
      <c r="E80" s="123">
        <v>1.0897016242591079E-10</v>
      </c>
      <c r="F80" s="123">
        <v>7.4611022773565766E-2</v>
      </c>
      <c r="G80" s="123">
        <v>0.49740681851796065</v>
      </c>
      <c r="H80" s="123">
        <v>0.50259318148203935</v>
      </c>
      <c r="I80" s="125"/>
      <c r="J80" s="125">
        <v>0.98499558438512225</v>
      </c>
      <c r="K80" s="125"/>
      <c r="L80" s="125"/>
      <c r="M80" s="125"/>
      <c r="N80" s="125"/>
      <c r="O80" s="125"/>
      <c r="P80" s="125"/>
      <c r="Q80" s="125">
        <v>0.99999740350819533</v>
      </c>
      <c r="R80" s="125"/>
      <c r="S80" s="125">
        <v>7.5893027406051666E-2</v>
      </c>
      <c r="T80" s="125">
        <v>2.512965907410197E-2</v>
      </c>
      <c r="U80" s="125">
        <v>0.79735580243897941</v>
      </c>
      <c r="V80" s="125">
        <v>9.9626924017630518</v>
      </c>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v>18.942612658429425</v>
      </c>
      <c r="BB80" s="17">
        <v>10.518511475237084</v>
      </c>
      <c r="BC80" s="17">
        <v>10.051492501224857</v>
      </c>
      <c r="BD80" s="17">
        <v>10.157029403192565</v>
      </c>
      <c r="BE80" s="17"/>
      <c r="BF80" s="17"/>
      <c r="BG80" s="17"/>
      <c r="BH80" s="17"/>
      <c r="BI80" s="17"/>
      <c r="BJ80" s="17"/>
      <c r="BK80" s="17"/>
      <c r="BL80" s="17"/>
      <c r="BM80" s="17"/>
      <c r="BN80" s="17"/>
      <c r="BO80" s="17"/>
      <c r="BP80" s="17"/>
      <c r="BQ80" s="17"/>
      <c r="BR80" s="17"/>
      <c r="BS80" s="17"/>
      <c r="BT80" s="17"/>
      <c r="BU80" s="17"/>
      <c r="BV80" s="17"/>
      <c r="BW80" s="17"/>
      <c r="BX80" s="17"/>
      <c r="BY80" s="17"/>
      <c r="BZ80" s="17"/>
    </row>
    <row r="81" spans="1:78">
      <c r="A81" s="19">
        <v>20.344214436772745</v>
      </c>
      <c r="B81" s="19">
        <v>10.271586190317612</v>
      </c>
      <c r="C81" s="122"/>
      <c r="D81" s="19"/>
      <c r="E81" s="123">
        <v>6.7142123741450222E-11</v>
      </c>
      <c r="F81" s="123">
        <v>7.4360104459015516E-2</v>
      </c>
      <c r="G81" s="123">
        <v>0.4957340297718596</v>
      </c>
      <c r="H81" s="123">
        <v>0.50426597022814035</v>
      </c>
      <c r="I81" s="125"/>
      <c r="J81" s="125">
        <v>0.97511397230698849</v>
      </c>
      <c r="K81" s="125"/>
      <c r="L81" s="125"/>
      <c r="M81" s="125"/>
      <c r="N81" s="125"/>
      <c r="O81" s="125"/>
      <c r="P81" s="125"/>
      <c r="Q81" s="125">
        <v>0.99999578142655376</v>
      </c>
      <c r="R81" s="125"/>
      <c r="S81" s="125">
        <v>7.645732489524365E-2</v>
      </c>
      <c r="T81" s="125">
        <v>2.5213298511407019E-2</v>
      </c>
      <c r="U81" s="125">
        <v>0.7969273643073892</v>
      </c>
      <c r="V81" s="125">
        <v>10.173004925902934</v>
      </c>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v>19.416979695961345</v>
      </c>
      <c r="BB81" s="17">
        <v>10.701104280413743</v>
      </c>
      <c r="BC81" s="17">
        <v>10.086610914731864</v>
      </c>
      <c r="BD81" s="17">
        <v>10.38228474269382</v>
      </c>
      <c r="BE81" s="17"/>
      <c r="BF81" s="17"/>
      <c r="BG81" s="17"/>
      <c r="BH81" s="17"/>
      <c r="BI81" s="17"/>
      <c r="BJ81" s="17"/>
      <c r="BK81" s="17"/>
      <c r="BL81" s="17"/>
      <c r="BM81" s="17"/>
      <c r="BN81" s="17"/>
      <c r="BO81" s="17"/>
      <c r="BP81" s="17"/>
      <c r="BQ81" s="17"/>
      <c r="BR81" s="17"/>
      <c r="BS81" s="17"/>
      <c r="BT81" s="17"/>
      <c r="BU81" s="17"/>
      <c r="BV81" s="17"/>
      <c r="BW81" s="17"/>
      <c r="BX81" s="17"/>
      <c r="BY81" s="17"/>
      <c r="BZ81" s="17"/>
    </row>
    <row r="82" spans="1:78">
      <c r="A82" s="19">
        <v>20.55962798622204</v>
      </c>
      <c r="B82" s="19">
        <v>10.482261360601155</v>
      </c>
      <c r="C82" s="122"/>
      <c r="D82" s="19"/>
      <c r="E82" s="123">
        <v>4.1369716995487478E-11</v>
      </c>
      <c r="F82" s="123">
        <v>7.3965175443639355E-2</v>
      </c>
      <c r="G82" s="123">
        <v>0.49310116965351569</v>
      </c>
      <c r="H82" s="123">
        <v>0.50689883034648431</v>
      </c>
      <c r="I82" s="125"/>
      <c r="J82" s="125">
        <v>0.95962168013060034</v>
      </c>
      <c r="K82" s="125"/>
      <c r="L82" s="125"/>
      <c r="M82" s="125"/>
      <c r="N82" s="125"/>
      <c r="O82" s="125"/>
      <c r="P82" s="125"/>
      <c r="Q82" s="125">
        <v>0.99999314192413968</v>
      </c>
      <c r="R82" s="125"/>
      <c r="S82" s="125">
        <v>7.7342219722521796E-2</v>
      </c>
      <c r="T82" s="125">
        <v>2.5344941517324217E-2</v>
      </c>
      <c r="U82" s="125">
        <v>0.79626218893125955</v>
      </c>
      <c r="V82" s="125">
        <v>10.383317450042814</v>
      </c>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v>19.822495484550018</v>
      </c>
      <c r="BB82" s="17">
        <v>10.883530080759435</v>
      </c>
      <c r="BC82" s="17">
        <v>10.145826595544349</v>
      </c>
      <c r="BD82" s="17">
        <v>10.607584306646606</v>
      </c>
      <c r="BE82" s="17"/>
      <c r="BF82" s="17"/>
      <c r="BG82" s="17"/>
      <c r="BH82" s="17"/>
      <c r="BI82" s="17"/>
      <c r="BJ82" s="17"/>
      <c r="BK82" s="17"/>
      <c r="BL82" s="17"/>
      <c r="BM82" s="17"/>
      <c r="BN82" s="17"/>
      <c r="BO82" s="17"/>
      <c r="BP82" s="17"/>
      <c r="BQ82" s="17"/>
      <c r="BR82" s="17"/>
      <c r="BS82" s="17"/>
      <c r="BT82" s="17"/>
      <c r="BU82" s="17"/>
      <c r="BV82" s="17"/>
      <c r="BW82" s="17"/>
      <c r="BX82" s="17"/>
      <c r="BY82" s="17"/>
      <c r="BZ82" s="17"/>
    </row>
    <row r="83" spans="1:78">
      <c r="A83" s="19">
        <v>20.902049214055296</v>
      </c>
      <c r="B83" s="19">
        <v>10.693128606202979</v>
      </c>
      <c r="C83" s="122"/>
      <c r="D83" s="19"/>
      <c r="E83" s="123">
        <v>2.5490011172079618E-11</v>
      </c>
      <c r="F83" s="123">
        <v>7.3345958394929134E-2</v>
      </c>
      <c r="G83" s="123">
        <v>0.48897305599639462</v>
      </c>
      <c r="H83" s="123">
        <v>0.51102694400360538</v>
      </c>
      <c r="I83" s="125"/>
      <c r="J83" s="125">
        <v>0.9353673072859584</v>
      </c>
      <c r="K83" s="125"/>
      <c r="L83" s="125"/>
      <c r="M83" s="125"/>
      <c r="N83" s="125"/>
      <c r="O83" s="125"/>
      <c r="P83" s="125"/>
      <c r="Q83" s="125">
        <v>0.9999888410743516</v>
      </c>
      <c r="R83" s="125"/>
      <c r="S83" s="125">
        <v>7.871539705357937E-2</v>
      </c>
      <c r="T83" s="125">
        <v>2.555134720018027E-2</v>
      </c>
      <c r="U83" s="125">
        <v>0.79524577782414785</v>
      </c>
      <c r="V83" s="125">
        <v>10.593629974182695</v>
      </c>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v>20.215055385779124</v>
      </c>
      <c r="BB83" s="17">
        <v>11.065849475536167</v>
      </c>
      <c r="BC83" s="17">
        <v>10.245943551126402</v>
      </c>
      <c r="BD83" s="17">
        <v>10.832957830787768</v>
      </c>
      <c r="BE83" s="17"/>
      <c r="BF83" s="17"/>
      <c r="BG83" s="17"/>
      <c r="BH83" s="17"/>
      <c r="BI83" s="17"/>
      <c r="BJ83" s="17"/>
      <c r="BK83" s="17"/>
      <c r="BL83" s="17"/>
      <c r="BM83" s="17"/>
      <c r="BN83" s="17"/>
      <c r="BO83" s="17"/>
      <c r="BP83" s="17"/>
      <c r="BQ83" s="17"/>
      <c r="BR83" s="17"/>
      <c r="BS83" s="17"/>
      <c r="BT83" s="17"/>
      <c r="BU83" s="17"/>
      <c r="BV83" s="17"/>
      <c r="BW83" s="17"/>
      <c r="BX83" s="17"/>
      <c r="BY83" s="17"/>
      <c r="BZ83" s="17"/>
    </row>
    <row r="84" spans="1:78">
      <c r="A84" s="19">
        <v>21.442285725788679</v>
      </c>
      <c r="B84" s="19">
        <v>10.904263374595613</v>
      </c>
      <c r="C84" s="122"/>
      <c r="D84" s="19"/>
      <c r="E84" s="123">
        <v>1.5705707380681772E-11</v>
      </c>
      <c r="F84" s="123">
        <v>7.2389829553114932E-2</v>
      </c>
      <c r="G84" s="123">
        <v>0.48259886370738203</v>
      </c>
      <c r="H84" s="123">
        <v>0.51740113629261797</v>
      </c>
      <c r="I84" s="125"/>
      <c r="J84" s="125">
        <v>0.89798277100715507</v>
      </c>
      <c r="K84" s="125"/>
      <c r="L84" s="125"/>
      <c r="M84" s="125"/>
      <c r="N84" s="125"/>
      <c r="O84" s="125"/>
      <c r="P84" s="125"/>
      <c r="Q84" s="125">
        <v>0.99998182073386488</v>
      </c>
      <c r="R84" s="125"/>
      <c r="S84" s="125">
        <v>8.0795532275501666E-2</v>
      </c>
      <c r="T84" s="125">
        <v>2.58700568146309E-2</v>
      </c>
      <c r="U84" s="125">
        <v>0.79374157350113383</v>
      </c>
      <c r="V84" s="125">
        <v>10.803942498322577</v>
      </c>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v>20.659375215473119</v>
      </c>
      <c r="BB84" s="17">
        <v>11.248111321477786</v>
      </c>
      <c r="BC84" s="17">
        <v>10.415984124119859</v>
      </c>
      <c r="BD84" s="17">
        <v>11.058454687920037</v>
      </c>
      <c r="BE84" s="17"/>
      <c r="BF84" s="17"/>
      <c r="BG84" s="17"/>
      <c r="BH84" s="17"/>
      <c r="BI84" s="17"/>
      <c r="BJ84" s="17"/>
      <c r="BK84" s="17"/>
      <c r="BL84" s="17"/>
      <c r="BM84" s="17"/>
      <c r="BN84" s="17"/>
      <c r="BO84" s="17"/>
      <c r="BP84" s="17"/>
      <c r="BQ84" s="17"/>
      <c r="BR84" s="17"/>
      <c r="BS84" s="17"/>
      <c r="BT84" s="17"/>
      <c r="BU84" s="17"/>
      <c r="BV84" s="17"/>
      <c r="BW84" s="17"/>
      <c r="BX84" s="17"/>
      <c r="BY84" s="17"/>
      <c r="BZ84" s="17"/>
    </row>
    <row r="85" spans="1:78">
      <c r="A85" s="19">
        <v>22.281442677194718</v>
      </c>
      <c r="B85" s="19">
        <v>11.115733453073027</v>
      </c>
      <c r="C85" s="122"/>
      <c r="D85" s="19"/>
      <c r="E85" s="123">
        <v>9.6770943983653881E-12</v>
      </c>
      <c r="F85" s="123">
        <v>7.0953113468927256E-2</v>
      </c>
      <c r="G85" s="123">
        <v>0.47302075645822361</v>
      </c>
      <c r="H85" s="123">
        <v>0.52697924354177639</v>
      </c>
      <c r="I85" s="125"/>
      <c r="J85" s="125">
        <v>0.84212579287720235</v>
      </c>
      <c r="K85" s="125"/>
      <c r="L85" s="125"/>
      <c r="M85" s="125"/>
      <c r="N85" s="125"/>
      <c r="O85" s="125"/>
      <c r="P85" s="125"/>
      <c r="Q85" s="125">
        <v>0.99997033809816438</v>
      </c>
      <c r="R85" s="125"/>
      <c r="S85" s="125">
        <v>8.3817936632166565E-2</v>
      </c>
      <c r="T85" s="125">
        <v>2.6348962177088819E-2</v>
      </c>
      <c r="U85" s="125">
        <v>0.79162877764201134</v>
      </c>
      <c r="V85" s="125">
        <v>11.014255022462457</v>
      </c>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v>21.238175708276685</v>
      </c>
      <c r="BB85" s="17">
        <v>11.430357396969191</v>
      </c>
      <c r="BC85" s="17">
        <v>10.707017914683092</v>
      </c>
      <c r="BD85" s="17">
        <v>11.284156219807242</v>
      </c>
      <c r="BE85" s="17"/>
      <c r="BF85" s="17"/>
      <c r="BG85" s="17"/>
      <c r="BH85" s="17"/>
      <c r="BI85" s="17"/>
      <c r="BJ85" s="17"/>
      <c r="BK85" s="17"/>
      <c r="BL85" s="17"/>
      <c r="BM85" s="17"/>
      <c r="BN85" s="17"/>
      <c r="BO85" s="17"/>
      <c r="BP85" s="17"/>
      <c r="BQ85" s="17"/>
      <c r="BR85" s="17"/>
      <c r="BS85" s="17"/>
      <c r="BT85" s="17"/>
      <c r="BU85" s="17"/>
      <c r="BV85" s="17"/>
      <c r="BW85" s="17"/>
      <c r="BX85" s="17"/>
      <c r="BY85" s="17"/>
      <c r="BZ85" s="17"/>
    </row>
    <row r="86" spans="1:78">
      <c r="A86" s="19">
        <v>23.553723619261291</v>
      </c>
      <c r="B86" s="19">
        <v>11.327553158845967</v>
      </c>
      <c r="C86" s="122"/>
      <c r="D86" s="19"/>
      <c r="E86" s="123">
        <v>5.962555759192383E-12</v>
      </c>
      <c r="F86" s="123">
        <v>6.8880448113995241E-2</v>
      </c>
      <c r="G86" s="123">
        <v>0.45920298745302657</v>
      </c>
      <c r="H86" s="123">
        <v>0.54079701254697343</v>
      </c>
      <c r="I86" s="125"/>
      <c r="J86" s="125">
        <v>0.76292727545114791</v>
      </c>
      <c r="K86" s="125"/>
      <c r="L86" s="125"/>
      <c r="M86" s="125"/>
      <c r="N86" s="125"/>
      <c r="O86" s="125"/>
      <c r="P86" s="125"/>
      <c r="Q86" s="125">
        <v>0.99995152501204465</v>
      </c>
      <c r="R86" s="125"/>
      <c r="S86" s="125">
        <v>8.7926940582393531E-2</v>
      </c>
      <c r="T86" s="125">
        <v>2.7039850627348674E-2</v>
      </c>
      <c r="U86" s="125">
        <v>0.78888625977979965</v>
      </c>
      <c r="V86" s="125">
        <v>11.224567546602339</v>
      </c>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v>22.070677862211596</v>
      </c>
      <c r="BB86" s="17">
        <v>11.612627884233907</v>
      </c>
      <c r="BC86" s="17">
        <v>11.211729601200204</v>
      </c>
      <c r="BD86" s="17">
        <v>11.510194694607463</v>
      </c>
      <c r="BE86" s="17"/>
      <c r="BF86" s="17"/>
      <c r="BG86" s="17"/>
      <c r="BH86" s="17"/>
      <c r="BI86" s="17"/>
      <c r="BJ86" s="17"/>
      <c r="BK86" s="17"/>
      <c r="BL86" s="17"/>
      <c r="BM86" s="17"/>
      <c r="BN86" s="17"/>
      <c r="BO86" s="17"/>
      <c r="BP86" s="17"/>
      <c r="BQ86" s="17"/>
      <c r="BR86" s="17"/>
      <c r="BS86" s="17"/>
      <c r="BT86" s="17"/>
      <c r="BU86" s="17"/>
      <c r="BV86" s="17"/>
      <c r="BW86" s="17"/>
      <c r="BX86" s="17"/>
      <c r="BY86" s="17"/>
      <c r="BZ86" s="17"/>
    </row>
    <row r="87" spans="1:78">
      <c r="A87" s="19">
        <v>25.425947584153619</v>
      </c>
      <c r="B87" s="19">
        <v>11.539624057245398</v>
      </c>
      <c r="C87" s="122"/>
      <c r="D87" s="19"/>
      <c r="E87" s="123">
        <v>3.6738373852675956E-12</v>
      </c>
      <c r="F87" s="123">
        <v>6.6041550249794773E-2</v>
      </c>
      <c r="G87" s="123">
        <v>0.44027700167596467</v>
      </c>
      <c r="H87" s="123">
        <v>0.55972299832403527</v>
      </c>
      <c r="I87" s="125"/>
      <c r="J87" s="125">
        <v>0.65929116878572014</v>
      </c>
      <c r="K87" s="125"/>
      <c r="L87" s="125"/>
      <c r="M87" s="125"/>
      <c r="N87" s="125"/>
      <c r="O87" s="125"/>
      <c r="P87" s="125"/>
      <c r="Q87" s="125">
        <v>0.99992068897008213</v>
      </c>
      <c r="R87" s="125"/>
      <c r="S87" s="125">
        <v>9.2987097476583611E-2</v>
      </c>
      <c r="T87" s="125">
        <v>2.7986149916201766E-2</v>
      </c>
      <c r="U87" s="125">
        <v>0.7856986695265562</v>
      </c>
      <c r="V87" s="125">
        <v>11.434880070742219</v>
      </c>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v>23.348587220243644</v>
      </c>
      <c r="BB87" s="17">
        <v>11.794967391156714</v>
      </c>
      <c r="BC87" s="17">
        <v>12.107096232648473</v>
      </c>
      <c r="BD87" s="17">
        <v>11.736780505153671</v>
      </c>
      <c r="BE87" s="17"/>
      <c r="BF87" s="17"/>
      <c r="BG87" s="17"/>
      <c r="BH87" s="17"/>
      <c r="BI87" s="17"/>
      <c r="BJ87" s="17"/>
      <c r="BK87" s="17"/>
      <c r="BL87" s="17"/>
      <c r="BM87" s="17"/>
      <c r="BN87" s="17"/>
      <c r="BO87" s="17"/>
      <c r="BP87" s="17"/>
      <c r="BQ87" s="17"/>
      <c r="BR87" s="17"/>
      <c r="BS87" s="17"/>
      <c r="BT87" s="17"/>
      <c r="BU87" s="17"/>
      <c r="BV87" s="17"/>
      <c r="BW87" s="17"/>
      <c r="BX87" s="17"/>
      <c r="BY87" s="17"/>
      <c r="BZ87" s="17"/>
    </row>
    <row r="88" spans="1:78">
      <c r="A88" s="19">
        <v>28.122492051625159</v>
      </c>
      <c r="B88" s="19">
        <v>11.751718173325493</v>
      </c>
      <c r="C88" s="122"/>
      <c r="D88" s="19"/>
      <c r="E88" s="123">
        <v>2.2636402372559017E-12</v>
      </c>
      <c r="F88" s="123">
        <v>6.2340911122020691E-2</v>
      </c>
      <c r="G88" s="123">
        <v>0.41560607416484285</v>
      </c>
      <c r="H88" s="123">
        <v>0.58439392583515715</v>
      </c>
      <c r="I88" s="125"/>
      <c r="J88" s="125">
        <v>0.53773219641622449</v>
      </c>
      <c r="K88" s="125"/>
      <c r="L88" s="125"/>
      <c r="M88" s="125"/>
      <c r="N88" s="125"/>
      <c r="O88" s="125"/>
      <c r="P88" s="125"/>
      <c r="Q88" s="125">
        <v>0.99987022609311205</v>
      </c>
      <c r="R88" s="125"/>
      <c r="S88" s="125">
        <v>9.8431976939430718E-2</v>
      </c>
      <c r="T88" s="125">
        <v>2.9219696291757857E-2</v>
      </c>
      <c r="U88" s="125">
        <v>0.78248212596960776</v>
      </c>
      <c r="V88" s="125">
        <v>11.645192594882101</v>
      </c>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v>25.413084276078735</v>
      </c>
      <c r="BB88" s="17">
        <v>11.977431804206329</v>
      </c>
      <c r="BC88" s="17">
        <v>13.760415789147373</v>
      </c>
      <c r="BD88" s="17">
        <v>11.964236064627583</v>
      </c>
      <c r="BE88" s="17"/>
      <c r="BF88" s="17"/>
      <c r="BG88" s="17"/>
      <c r="BH88" s="17"/>
      <c r="BI88" s="17"/>
      <c r="BJ88" s="17"/>
      <c r="BK88" s="17"/>
      <c r="BL88" s="17"/>
      <c r="BM88" s="17"/>
      <c r="BN88" s="17"/>
      <c r="BO88" s="17"/>
      <c r="BP88" s="17"/>
      <c r="BQ88" s="17"/>
      <c r="BR88" s="17"/>
      <c r="BS88" s="17"/>
      <c r="BT88" s="17"/>
      <c r="BU88" s="17"/>
      <c r="BV88" s="17"/>
      <c r="BW88" s="17"/>
      <c r="BX88" s="17"/>
      <c r="BY88" s="17"/>
      <c r="BZ88" s="17"/>
    </row>
    <row r="89" spans="1:78">
      <c r="A89" s="19">
        <v>32.065280988172162</v>
      </c>
      <c r="B89" s="19">
        <v>11.963554366049292</v>
      </c>
      <c r="C89" s="122"/>
      <c r="D89" s="19"/>
      <c r="E89" s="123">
        <v>1.3947452177039479E-12</v>
      </c>
      <c r="F89" s="123">
        <v>5.7619971374200274E-2</v>
      </c>
      <c r="G89" s="123">
        <v>0.38413314246752028</v>
      </c>
      <c r="H89" s="123">
        <v>0.61586685753247972</v>
      </c>
      <c r="I89" s="125"/>
      <c r="J89" s="125">
        <v>0.4123844445227674</v>
      </c>
      <c r="K89" s="125"/>
      <c r="L89" s="125"/>
      <c r="M89" s="125"/>
      <c r="N89" s="125"/>
      <c r="O89" s="125"/>
      <c r="P89" s="125"/>
      <c r="Q89" s="125">
        <v>0.99978791425118463</v>
      </c>
      <c r="R89" s="125"/>
      <c r="S89" s="125">
        <v>0.10336566843707481</v>
      </c>
      <c r="T89" s="125">
        <v>3.0793342876623987E-2</v>
      </c>
      <c r="U89" s="125">
        <v>0.77974169416894912</v>
      </c>
      <c r="V89" s="125">
        <v>11.855505119021982</v>
      </c>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v>28.945042788109276</v>
      </c>
      <c r="BB89" s="17">
        <v>12.160096419814815</v>
      </c>
      <c r="BC89" s="17">
        <v>17.047096470196266</v>
      </c>
      <c r="BD89" s="17">
        <v>12.193024702356251</v>
      </c>
      <c r="BE89" s="17"/>
      <c r="BF89" s="17"/>
      <c r="BG89" s="17"/>
      <c r="BH89" s="17"/>
      <c r="BI89" s="17"/>
      <c r="BJ89" s="17"/>
      <c r="BK89" s="17"/>
      <c r="BL89" s="17"/>
      <c r="BM89" s="17"/>
      <c r="BN89" s="17"/>
      <c r="BO89" s="17"/>
      <c r="BP89" s="17"/>
      <c r="BQ89" s="17"/>
      <c r="BR89" s="17"/>
      <c r="BS89" s="17"/>
      <c r="BT89" s="17"/>
      <c r="BU89" s="17"/>
      <c r="BV89" s="17"/>
      <c r="BW89" s="17"/>
      <c r="BX89" s="17"/>
      <c r="BY89" s="17"/>
      <c r="BZ89" s="17"/>
    </row>
    <row r="90" spans="1:78">
      <c r="A90" s="19">
        <v>38.31748273660196</v>
      </c>
      <c r="B90" s="19">
        <v>12.174908797581793</v>
      </c>
      <c r="C90" s="122"/>
      <c r="D90" s="19"/>
      <c r="E90" s="123">
        <v>8.5937429026542155E-13</v>
      </c>
      <c r="F90" s="123">
        <v>5.1442549629187533E-2</v>
      </c>
      <c r="G90" s="123">
        <v>0.34295033087816057</v>
      </c>
      <c r="H90" s="123">
        <v>0.65704966912183949</v>
      </c>
      <c r="I90" s="125"/>
      <c r="J90" s="125">
        <v>0.29884921710974371</v>
      </c>
      <c r="K90" s="125"/>
      <c r="L90" s="125"/>
      <c r="M90" s="125"/>
      <c r="N90" s="125"/>
      <c r="O90" s="125"/>
      <c r="P90" s="125"/>
      <c r="Q90" s="125">
        <v>0.99965418030006237</v>
      </c>
      <c r="R90" s="125"/>
      <c r="S90" s="125">
        <v>0.10689849825255272</v>
      </c>
      <c r="T90" s="125">
        <v>3.2852483456091978E-2</v>
      </c>
      <c r="U90" s="125">
        <v>0.77787327334712963</v>
      </c>
      <c r="V90" s="125">
        <v>12.065817643161862</v>
      </c>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v>35.536279213556554</v>
      </c>
      <c r="BB90" s="17">
        <v>12.343065535500466</v>
      </c>
      <c r="BC90" s="17">
        <v>24.627392178808805</v>
      </c>
      <c r="BD90" s="17">
        <v>12.423738905573176</v>
      </c>
      <c r="BE90" s="17"/>
      <c r="BF90" s="17"/>
      <c r="BG90" s="17"/>
      <c r="BH90" s="17"/>
      <c r="BI90" s="17"/>
      <c r="BJ90" s="17"/>
      <c r="BK90" s="17"/>
      <c r="BL90" s="17"/>
      <c r="BM90" s="17"/>
      <c r="BN90" s="17"/>
      <c r="BO90" s="17"/>
      <c r="BP90" s="17"/>
      <c r="BQ90" s="17"/>
      <c r="BR90" s="17"/>
      <c r="BS90" s="17"/>
      <c r="BT90" s="17"/>
      <c r="BU90" s="17"/>
      <c r="BV90" s="17"/>
      <c r="BW90" s="17"/>
      <c r="BX90" s="17"/>
      <c r="BY90" s="17"/>
      <c r="BZ90" s="17"/>
    </row>
    <row r="91" spans="1:78">
      <c r="A91" s="19">
        <v>49.999999998544808</v>
      </c>
      <c r="B91" s="19">
        <v>12.385643935645515</v>
      </c>
      <c r="C91" s="122"/>
      <c r="D91" s="19"/>
      <c r="E91" s="123">
        <v>5.2950471626994674E-13</v>
      </c>
      <c r="F91" s="123">
        <v>4.2857142834530203E-2</v>
      </c>
      <c r="G91" s="123">
        <v>0.28571428572616481</v>
      </c>
      <c r="H91" s="123">
        <v>0.71428571427383514</v>
      </c>
      <c r="I91" s="125"/>
      <c r="J91" s="125">
        <v>0.20703518744374916</v>
      </c>
      <c r="K91" s="125"/>
      <c r="L91" s="125"/>
      <c r="M91" s="125"/>
      <c r="N91" s="125"/>
      <c r="O91" s="125"/>
      <c r="P91" s="125"/>
      <c r="Q91" s="125">
        <v>0.99943777072752749</v>
      </c>
      <c r="R91" s="125"/>
      <c r="S91" s="125">
        <v>0.10837043226051853</v>
      </c>
      <c r="T91" s="125">
        <v>3.5714285713691757E-2</v>
      </c>
      <c r="U91" s="125">
        <v>0.77711668955578594</v>
      </c>
      <c r="V91" s="125">
        <v>12.276130167301744</v>
      </c>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v>49.999999986903276</v>
      </c>
      <c r="BB91" s="17">
        <v>12.52648266198166</v>
      </c>
      <c r="BC91" s="17">
        <v>49.999999998544808</v>
      </c>
      <c r="BD91" s="17">
        <v>12.656969396779232</v>
      </c>
      <c r="BE91" s="17"/>
      <c r="BF91" s="17"/>
      <c r="BG91" s="17"/>
      <c r="BH91" s="17"/>
      <c r="BI91" s="17"/>
      <c r="BJ91" s="17"/>
      <c r="BK91" s="17"/>
      <c r="BL91" s="17"/>
      <c r="BM91" s="17"/>
      <c r="BN91" s="17"/>
      <c r="BO91" s="17"/>
      <c r="BP91" s="17"/>
      <c r="BQ91" s="17"/>
      <c r="BR91" s="17"/>
      <c r="BS91" s="17"/>
      <c r="BT91" s="17"/>
      <c r="BU91" s="17"/>
      <c r="BV91" s="17"/>
      <c r="BW91" s="17"/>
      <c r="BX91" s="17"/>
      <c r="BY91" s="17"/>
      <c r="BZ91" s="17"/>
    </row>
    <row r="92" spans="1:78">
      <c r="A92" s="19"/>
      <c r="B92" s="19"/>
      <c r="C92" s="1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row>
    <row r="93" spans="1:78">
      <c r="A93" s="19"/>
      <c r="B93" s="19"/>
      <c r="C93" s="1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row>
    <row r="94" spans="1:78">
      <c r="A94" s="19"/>
      <c r="B94" s="19"/>
      <c r="C94" s="1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row>
    <row r="95" spans="1:78">
      <c r="A95" s="19"/>
      <c r="B95" s="19"/>
      <c r="C95" s="1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row>
    <row r="96" spans="1:78">
      <c r="A96" s="19"/>
      <c r="B96" s="19"/>
      <c r="C96" s="1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row>
    <row r="97" spans="1:78">
      <c r="A97" s="19"/>
      <c r="B97" s="19"/>
      <c r="C97" s="1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row>
    <row r="98" spans="1:78">
      <c r="A98" s="19"/>
      <c r="B98" s="19"/>
      <c r="C98" s="1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row>
    <row r="99" spans="1:78">
      <c r="A99" s="19"/>
      <c r="B99" s="19"/>
      <c r="C99" s="1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row>
    <row r="100" spans="1:78">
      <c r="A100" s="19"/>
      <c r="B100" s="19"/>
      <c r="C100" s="1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row>
    <row r="101" spans="1:78">
      <c r="A101" s="19"/>
      <c r="B101" s="19"/>
      <c r="C101" s="1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row>
    <row r="102" spans="1:78">
      <c r="A102" s="19"/>
      <c r="B102" s="19"/>
      <c r="C102" s="1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row>
    <row r="103" spans="1:78">
      <c r="A103" s="19"/>
      <c r="B103" s="19"/>
      <c r="C103" s="1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row>
    <row r="104" spans="1:78">
      <c r="A104" s="19"/>
      <c r="B104" s="19"/>
      <c r="C104" s="1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row>
    <row r="105" spans="1:78">
      <c r="A105" s="19"/>
      <c r="B105" s="19"/>
      <c r="C105" s="1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row>
    <row r="106" spans="1:78">
      <c r="A106" s="19"/>
      <c r="B106" s="19"/>
      <c r="C106" s="1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row>
    <row r="107" spans="1:78">
      <c r="A107" s="19"/>
      <c r="B107" s="19"/>
      <c r="C107" s="1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row>
    <row r="108" spans="1:78">
      <c r="A108" s="19"/>
      <c r="B108" s="19"/>
      <c r="C108" s="1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row>
    <row r="109" spans="1:78">
      <c r="A109" s="19"/>
      <c r="B109" s="19"/>
      <c r="C109" s="1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row>
    <row r="110" spans="1:78">
      <c r="A110" s="19"/>
      <c r="B110" s="19"/>
      <c r="C110" s="1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row>
    <row r="111" spans="1:78">
      <c r="A111" s="19"/>
      <c r="B111" s="19"/>
      <c r="C111" s="1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row>
    <row r="112" spans="1:78">
      <c r="A112" s="19"/>
      <c r="B112" s="19"/>
      <c r="C112" s="1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row>
    <row r="113" spans="1:78">
      <c r="A113" s="19"/>
      <c r="B113" s="19"/>
      <c r="C113" s="1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row>
    <row r="114" spans="1:78">
      <c r="A114" s="19"/>
      <c r="B114" s="19"/>
      <c r="C114" s="1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row>
    <row r="115" spans="1:78">
      <c r="A115" s="19"/>
      <c r="B115" s="19"/>
      <c r="C115" s="1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row>
    <row r="116" spans="1:78">
      <c r="A116" s="19"/>
      <c r="B116" s="19"/>
      <c r="C116" s="1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row>
    <row r="117" spans="1:78">
      <c r="A117" s="19"/>
      <c r="B117" s="19"/>
      <c r="C117" s="1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row>
    <row r="118" spans="1:78">
      <c r="A118" s="19"/>
      <c r="B118" s="19"/>
      <c r="C118" s="1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row>
    <row r="119" spans="1:78">
      <c r="A119" s="19"/>
      <c r="B119" s="19"/>
      <c r="C119" s="1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row>
    <row r="120" spans="1:78">
      <c r="A120" s="19"/>
      <c r="B120" s="19"/>
      <c r="C120" s="1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c r="BJ120" s="17"/>
      <c r="BK120" s="17"/>
      <c r="BL120" s="17"/>
      <c r="BM120" s="17"/>
      <c r="BN120" s="17"/>
      <c r="BO120" s="17"/>
      <c r="BP120" s="17"/>
      <c r="BQ120" s="17"/>
      <c r="BR120" s="17"/>
      <c r="BS120" s="17"/>
      <c r="BT120" s="17"/>
      <c r="BU120" s="17"/>
      <c r="BV120" s="17"/>
      <c r="BW120" s="17"/>
      <c r="BX120" s="17"/>
      <c r="BY120" s="17"/>
      <c r="BZ120" s="17"/>
    </row>
    <row r="121" spans="1:78">
      <c r="A121" s="19"/>
      <c r="B121" s="19"/>
      <c r="C121" s="1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c r="BJ121" s="17"/>
      <c r="BK121" s="17"/>
      <c r="BL121" s="17"/>
      <c r="BM121" s="17"/>
      <c r="BN121" s="17"/>
      <c r="BO121" s="17"/>
      <c r="BP121" s="17"/>
      <c r="BQ121" s="17"/>
      <c r="BR121" s="17"/>
      <c r="BS121" s="17"/>
      <c r="BT121" s="17"/>
      <c r="BU121" s="17"/>
      <c r="BV121" s="17"/>
      <c r="BW121" s="17"/>
      <c r="BX121" s="17"/>
      <c r="BY121" s="17"/>
      <c r="BZ121" s="17"/>
    </row>
    <row r="122" spans="1:78">
      <c r="A122" s="19"/>
      <c r="B122" s="19"/>
      <c r="C122" s="1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c r="BJ122" s="17"/>
      <c r="BK122" s="17"/>
      <c r="BL122" s="17"/>
      <c r="BM122" s="17"/>
      <c r="BN122" s="17"/>
      <c r="BO122" s="17"/>
      <c r="BP122" s="17"/>
      <c r="BQ122" s="17"/>
      <c r="BR122" s="17"/>
      <c r="BS122" s="17"/>
      <c r="BT122" s="17"/>
      <c r="BU122" s="17"/>
      <c r="BV122" s="17"/>
      <c r="BW122" s="17"/>
      <c r="BX122" s="17"/>
      <c r="BY122" s="17"/>
      <c r="BZ122" s="17"/>
    </row>
    <row r="123" spans="1:78">
      <c r="A123" s="19"/>
      <c r="B123" s="19"/>
      <c r="C123" s="1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row>
    <row r="124" spans="1:78">
      <c r="A124" s="19"/>
      <c r="B124" s="19"/>
      <c r="C124" s="1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row>
    <row r="125" spans="1:78">
      <c r="A125" s="19"/>
      <c r="B125" s="19"/>
      <c r="C125" s="1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row>
    <row r="126" spans="1:78">
      <c r="A126" s="19"/>
      <c r="B126" s="19"/>
      <c r="C126" s="1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row>
    <row r="127" spans="1:78">
      <c r="A127" s="19"/>
      <c r="B127" s="19"/>
      <c r="C127" s="1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c r="BG127" s="17"/>
      <c r="BH127" s="17"/>
      <c r="BI127" s="17"/>
      <c r="BJ127" s="17"/>
      <c r="BK127" s="17"/>
      <c r="BL127" s="17"/>
      <c r="BM127" s="17"/>
      <c r="BN127" s="17"/>
      <c r="BO127" s="17"/>
      <c r="BP127" s="17"/>
      <c r="BQ127" s="17"/>
      <c r="BR127" s="17"/>
      <c r="BS127" s="17"/>
      <c r="BT127" s="17"/>
      <c r="BU127" s="17"/>
      <c r="BV127" s="17"/>
      <c r="BW127" s="17"/>
      <c r="BX127" s="17"/>
      <c r="BY127" s="17"/>
      <c r="BZ127" s="17"/>
    </row>
    <row r="128" spans="1:78">
      <c r="A128" s="19"/>
      <c r="B128" s="19"/>
      <c r="C128" s="1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row>
    <row r="129" spans="1:78">
      <c r="A129" s="19"/>
      <c r="B129" s="19"/>
      <c r="C129" s="1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row>
    <row r="130" spans="1:78">
      <c r="A130" s="19"/>
      <c r="B130" s="19"/>
      <c r="C130" s="1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c r="BE130" s="17"/>
      <c r="BF130" s="17"/>
      <c r="BG130" s="17"/>
      <c r="BH130" s="17"/>
      <c r="BI130" s="17"/>
      <c r="BJ130" s="17"/>
      <c r="BK130" s="17"/>
      <c r="BL130" s="17"/>
      <c r="BM130" s="17"/>
      <c r="BN130" s="17"/>
      <c r="BO130" s="17"/>
      <c r="BP130" s="17"/>
      <c r="BQ130" s="17"/>
      <c r="BR130" s="17"/>
      <c r="BS130" s="17"/>
      <c r="BT130" s="17"/>
      <c r="BU130" s="17"/>
      <c r="BV130" s="17"/>
      <c r="BW130" s="17"/>
      <c r="BX130" s="17"/>
      <c r="BY130" s="17"/>
      <c r="BZ130" s="17"/>
    </row>
    <row r="131" spans="1:78">
      <c r="A131" s="19"/>
      <c r="B131" s="19"/>
      <c r="C131" s="1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row>
    <row r="132" spans="1:78">
      <c r="A132" s="19"/>
      <c r="B132" s="19"/>
      <c r="C132" s="1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row>
    <row r="133" spans="1:78">
      <c r="A133" s="19"/>
      <c r="B133" s="19"/>
      <c r="C133" s="1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row>
    <row r="134" spans="1:78">
      <c r="A134" s="19"/>
      <c r="B134" s="19"/>
      <c r="C134" s="1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row>
    <row r="135" spans="1:78">
      <c r="A135" s="19"/>
      <c r="B135" s="19"/>
      <c r="C135" s="1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row>
    <row r="136" spans="1:78">
      <c r="A136" s="19"/>
      <c r="B136" s="19"/>
      <c r="C136" s="1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c r="BU136" s="17"/>
      <c r="BV136" s="17"/>
      <c r="BW136" s="17"/>
      <c r="BX136" s="17"/>
      <c r="BY136" s="17"/>
      <c r="BZ136" s="17"/>
    </row>
    <row r="137" spans="1:78">
      <c r="A137" s="19"/>
      <c r="B137" s="19"/>
      <c r="C137" s="1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row>
    <row r="138" spans="1:78">
      <c r="A138" s="19"/>
      <c r="B138" s="19"/>
      <c r="C138" s="1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row>
    <row r="139" spans="1:78">
      <c r="A139" s="19"/>
      <c r="B139" s="19"/>
      <c r="C139" s="1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row>
    <row r="140" spans="1:78">
      <c r="A140" s="19"/>
      <c r="B140" s="19"/>
      <c r="C140" s="1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c r="BE140" s="17"/>
      <c r="BF140" s="17"/>
      <c r="BG140" s="17"/>
      <c r="BH140" s="17"/>
      <c r="BI140" s="17"/>
      <c r="BJ140" s="17"/>
      <c r="BK140" s="17"/>
      <c r="BL140" s="17"/>
      <c r="BM140" s="17"/>
      <c r="BN140" s="17"/>
      <c r="BO140" s="17"/>
      <c r="BP140" s="17"/>
      <c r="BQ140" s="17"/>
      <c r="BR140" s="17"/>
      <c r="BS140" s="17"/>
      <c r="BT140" s="17"/>
      <c r="BU140" s="17"/>
      <c r="BV140" s="17"/>
      <c r="BW140" s="17"/>
      <c r="BX140" s="17"/>
      <c r="BY140" s="17"/>
      <c r="BZ140" s="17"/>
    </row>
    <row r="141" spans="1:78">
      <c r="A141" s="19"/>
      <c r="B141" s="19"/>
      <c r="C141" s="1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row>
    <row r="142" spans="1:78">
      <c r="A142" s="19"/>
      <c r="B142" s="19"/>
      <c r="C142" s="1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row>
    <row r="143" spans="1:78">
      <c r="A143" s="19"/>
      <c r="B143" s="19"/>
      <c r="C143" s="1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row>
    <row r="144" spans="1:78">
      <c r="A144" s="19"/>
      <c r="B144" s="19"/>
      <c r="C144" s="1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row>
    <row r="145" spans="1:78">
      <c r="A145" s="19"/>
      <c r="B145" s="19"/>
      <c r="C145" s="1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row>
    <row r="146" spans="1:78">
      <c r="A146" s="19"/>
      <c r="B146" s="19"/>
      <c r="C146" s="1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row>
    <row r="147" spans="1:78">
      <c r="A147" s="19"/>
      <c r="B147" s="19"/>
      <c r="C147" s="1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row>
    <row r="148" spans="1:78">
      <c r="A148" s="19"/>
      <c r="B148" s="19"/>
      <c r="C148" s="1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row>
    <row r="149" spans="1:78">
      <c r="A149" s="19"/>
      <c r="B149" s="19"/>
      <c r="C149" s="1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row>
    <row r="150" spans="1:78">
      <c r="A150" s="19"/>
      <c r="B150" s="19"/>
      <c r="C150" s="1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row>
    <row r="151" spans="1:78">
      <c r="A151" s="19"/>
      <c r="B151" s="19"/>
      <c r="C151" s="1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row>
    <row r="152" spans="1:78">
      <c r="A152" s="19"/>
      <c r="B152" s="19"/>
      <c r="C152" s="1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row>
    <row r="153" spans="1:78">
      <c r="A153" s="19"/>
      <c r="B153" s="19"/>
      <c r="C153" s="1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row>
    <row r="154" spans="1:78">
      <c r="A154" s="19"/>
      <c r="B154" s="19"/>
      <c r="C154" s="1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row>
    <row r="155" spans="1:78">
      <c r="A155" s="19"/>
      <c r="B155" s="19"/>
      <c r="C155" s="1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row>
    <row r="156" spans="1:78">
      <c r="A156" s="19"/>
      <c r="B156" s="19"/>
      <c r="C156" s="1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c r="BE156" s="17"/>
      <c r="BF156" s="17"/>
      <c r="BG156" s="17"/>
      <c r="BH156" s="17"/>
      <c r="BI156" s="17"/>
      <c r="BJ156" s="17"/>
      <c r="BK156" s="17"/>
      <c r="BL156" s="17"/>
      <c r="BM156" s="17"/>
      <c r="BN156" s="17"/>
      <c r="BO156" s="17"/>
      <c r="BP156" s="17"/>
      <c r="BQ156" s="17"/>
      <c r="BR156" s="17"/>
      <c r="BS156" s="17"/>
      <c r="BT156" s="17"/>
      <c r="BU156" s="17"/>
      <c r="BV156" s="17"/>
      <c r="BW156" s="17"/>
      <c r="BX156" s="17"/>
      <c r="BY156" s="17"/>
      <c r="BZ156" s="17"/>
    </row>
    <row r="157" spans="1:78">
      <c r="A157" s="19"/>
      <c r="B157" s="19"/>
      <c r="C157" s="1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row>
    <row r="158" spans="1:78">
      <c r="A158" s="19"/>
      <c r="B158" s="19"/>
      <c r="C158" s="1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row>
    <row r="159" spans="1:78">
      <c r="A159" s="19"/>
      <c r="B159" s="19"/>
      <c r="C159" s="1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row>
    <row r="160" spans="1:78">
      <c r="A160" s="19"/>
      <c r="B160" s="19"/>
      <c r="C160" s="1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row>
    <row r="161" spans="1:78">
      <c r="A161" s="19"/>
      <c r="B161" s="19"/>
      <c r="C161" s="1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c r="BE161" s="17"/>
      <c r="BF161" s="17"/>
      <c r="BG161" s="17"/>
      <c r="BH161" s="17"/>
      <c r="BI161" s="17"/>
      <c r="BJ161" s="17"/>
      <c r="BK161" s="17"/>
      <c r="BL161" s="17"/>
      <c r="BM161" s="17"/>
      <c r="BN161" s="17"/>
      <c r="BO161" s="17"/>
      <c r="BP161" s="17"/>
      <c r="BQ161" s="17"/>
      <c r="BR161" s="17"/>
      <c r="BS161" s="17"/>
      <c r="BT161" s="17"/>
      <c r="BU161" s="17"/>
      <c r="BV161" s="17"/>
      <c r="BW161" s="17"/>
      <c r="BX161" s="17"/>
      <c r="BY161" s="17"/>
      <c r="BZ161" s="17"/>
    </row>
    <row r="162" spans="1:78">
      <c r="A162" s="19"/>
      <c r="B162" s="19"/>
      <c r="C162" s="1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c r="BE162" s="17"/>
      <c r="BF162" s="17"/>
      <c r="BG162" s="17"/>
      <c r="BH162" s="17"/>
      <c r="BI162" s="17"/>
      <c r="BJ162" s="17"/>
      <c r="BK162" s="17"/>
      <c r="BL162" s="17"/>
      <c r="BM162" s="17"/>
      <c r="BN162" s="17"/>
      <c r="BO162" s="17"/>
      <c r="BP162" s="17"/>
      <c r="BQ162" s="17"/>
      <c r="BR162" s="17"/>
      <c r="BS162" s="17"/>
      <c r="BT162" s="17"/>
      <c r="BU162" s="17"/>
      <c r="BV162" s="17"/>
      <c r="BW162" s="17"/>
      <c r="BX162" s="17"/>
      <c r="BY162" s="17"/>
      <c r="BZ162" s="17"/>
    </row>
  </sheetData>
  <protectedRanges>
    <protectedRange sqref="I13" name="Intervalo2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Plan1"/>
  <dimension ref="A1:BN158"/>
  <sheetViews>
    <sheetView tabSelected="1" zoomScale="85" zoomScaleNormal="85" workbookViewId="0">
      <selection activeCell="Q103" sqref="Q103"/>
    </sheetView>
  </sheetViews>
  <sheetFormatPr defaultRowHeight="12.75"/>
  <cols>
    <col min="1" max="1" width="14.5703125" customWidth="1"/>
    <col min="2" max="2" width="11.85546875" customWidth="1"/>
    <col min="3" max="3" width="13.28515625" customWidth="1"/>
    <col min="4" max="4" width="19.85546875" customWidth="1"/>
    <col min="5" max="5" width="13.140625" customWidth="1"/>
    <col min="6" max="6" width="15.7109375" customWidth="1"/>
    <col min="7" max="7" width="14.85546875" customWidth="1"/>
    <col min="8" max="8" width="16.7109375" customWidth="1"/>
    <col min="9" max="9" width="15.7109375" customWidth="1"/>
    <col min="10" max="10" width="15.85546875" customWidth="1"/>
    <col min="11" max="14" width="20.7109375" customWidth="1"/>
    <col min="15" max="15" width="12.5703125" customWidth="1"/>
    <col min="16" max="16" width="11.28515625" customWidth="1"/>
    <col min="17" max="20" width="9.28515625" bestFit="1" customWidth="1"/>
    <col min="24" max="24" width="13.5703125" customWidth="1"/>
    <col min="25" max="26" width="9.28515625" bestFit="1" customWidth="1"/>
    <col min="27" max="31" width="12.42578125" bestFit="1" customWidth="1"/>
    <col min="35" max="36" width="9.28515625" bestFit="1" customWidth="1"/>
    <col min="38" max="39" width="9.28515625" bestFit="1" customWidth="1"/>
    <col min="40" max="40" width="13.140625" bestFit="1" customWidth="1"/>
    <col min="41" max="43" width="9.28515625" bestFit="1" customWidth="1"/>
    <col min="48" max="48" width="9.28515625" bestFit="1" customWidth="1"/>
    <col min="49" max="49" width="8.42578125" customWidth="1"/>
    <col min="50" max="50" width="13.140625" bestFit="1" customWidth="1"/>
    <col min="51" max="53" width="9.28515625" bestFit="1" customWidth="1"/>
    <col min="57" max="57" width="12.7109375" customWidth="1"/>
    <col min="58" max="58" width="11.5703125" customWidth="1"/>
    <col min="64" max="64" width="10.42578125" customWidth="1"/>
  </cols>
  <sheetData>
    <row r="1" spans="1:66" ht="24" customHeight="1">
      <c r="A1" s="402"/>
      <c r="B1" s="88" t="s">
        <v>799</v>
      </c>
      <c r="C1" s="88"/>
      <c r="D1" s="210"/>
      <c r="E1" s="210"/>
      <c r="F1" s="210"/>
      <c r="G1" s="210"/>
      <c r="H1" s="535" t="s">
        <v>753</v>
      </c>
      <c r="I1" s="210"/>
      <c r="J1" s="404"/>
      <c r="K1" s="93"/>
      <c r="L1" s="59"/>
      <c r="M1" s="59"/>
      <c r="N1" s="57"/>
      <c r="O1" s="57"/>
      <c r="P1" s="57"/>
      <c r="Q1" s="57"/>
      <c r="R1" s="57"/>
      <c r="S1" s="57"/>
      <c r="T1" s="57"/>
      <c r="U1" s="57"/>
      <c r="V1" s="57"/>
      <c r="W1" s="57"/>
      <c r="X1" s="57"/>
      <c r="Y1" s="57"/>
      <c r="Z1" s="591" t="s">
        <v>785</v>
      </c>
      <c r="AA1" s="26"/>
      <c r="AB1" s="26"/>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26"/>
      <c r="BN1" s="26"/>
    </row>
    <row r="2" spans="1:66" ht="20.25">
      <c r="A2" s="282"/>
      <c r="B2" s="283"/>
      <c r="C2" s="284"/>
      <c r="D2" s="207" t="s">
        <v>663</v>
      </c>
      <c r="E2" s="208"/>
      <c r="F2" s="1080" t="s">
        <v>1046</v>
      </c>
      <c r="G2" s="1081"/>
      <c r="H2" s="1082" t="s">
        <v>1047</v>
      </c>
      <c r="I2" s="1083" t="s">
        <v>1048</v>
      </c>
      <c r="J2" s="1084" t="s">
        <v>1049</v>
      </c>
      <c r="K2" s="93"/>
      <c r="L2" s="2"/>
      <c r="M2" s="1123"/>
      <c r="N2" s="1124" t="s">
        <v>598</v>
      </c>
      <c r="O2" s="1125"/>
      <c r="P2" s="26"/>
      <c r="Q2" s="26"/>
      <c r="R2" s="26"/>
      <c r="S2" s="26"/>
      <c r="T2" s="26"/>
      <c r="U2" s="26"/>
      <c r="V2" s="26"/>
      <c r="W2" s="26"/>
      <c r="X2" s="26"/>
      <c r="Y2" s="26"/>
      <c r="Z2" s="419" t="s">
        <v>1164</v>
      </c>
      <c r="AA2" s="420"/>
      <c r="AB2" s="421"/>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57"/>
      <c r="BG2" s="57"/>
      <c r="BH2" s="57"/>
      <c r="BI2" s="57"/>
      <c r="BJ2" s="57"/>
      <c r="BK2" s="57"/>
      <c r="BL2" s="57"/>
      <c r="BM2" s="26"/>
      <c r="BN2" s="26"/>
    </row>
    <row r="3" spans="1:66" ht="15.75">
      <c r="A3" s="285"/>
      <c r="B3" s="286"/>
      <c r="C3" s="287"/>
      <c r="D3" s="206"/>
      <c r="E3" s="205">
        <v>264</v>
      </c>
      <c r="F3" s="1085" t="s">
        <v>1050</v>
      </c>
      <c r="G3" s="1086">
        <v>0</v>
      </c>
      <c r="H3" s="1087">
        <f>IF(C7&lt;0,0,IF(C7&gt;3,3,C7))</f>
        <v>0.1</v>
      </c>
      <c r="I3" s="532" t="s">
        <v>746</v>
      </c>
      <c r="J3" s="1088"/>
      <c r="K3" s="93"/>
      <c r="L3" s="2"/>
      <c r="M3" s="300"/>
      <c r="N3" s="315" t="s">
        <v>599</v>
      </c>
      <c r="O3" s="345"/>
      <c r="P3" s="26"/>
      <c r="Q3" s="26"/>
      <c r="R3" s="26"/>
      <c r="S3" s="26"/>
      <c r="T3" s="26"/>
      <c r="U3" s="26"/>
      <c r="V3" s="26"/>
      <c r="W3" s="26"/>
      <c r="X3" s="26"/>
      <c r="Y3" s="26"/>
      <c r="Z3" s="893" t="s">
        <v>918</v>
      </c>
      <c r="AA3" s="18"/>
      <c r="AB3" s="415"/>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57"/>
      <c r="BG3" s="57"/>
      <c r="BH3" s="57"/>
      <c r="BI3" s="57"/>
      <c r="BJ3" s="57"/>
      <c r="BK3" s="57"/>
      <c r="BL3" s="57"/>
      <c r="BM3" s="26"/>
      <c r="BN3" s="26"/>
    </row>
    <row r="4" spans="1:66" ht="19.5">
      <c r="A4" s="288"/>
      <c r="B4" s="289"/>
      <c r="C4" s="290"/>
      <c r="D4" s="532" t="s">
        <v>986</v>
      </c>
      <c r="E4" s="1105">
        <f>IF(VLOOKUP(E$3,Database!$B$22:$N$301,4)="","",VLOOKUP(E$3,Database!$B$22:$N$301,4))</f>
        <v>7.5</v>
      </c>
      <c r="F4" s="1089" t="s">
        <v>487</v>
      </c>
      <c r="G4" s="1090">
        <f>IF(E4="","",IF(E5="",10^E4,(IF(E6="",10^E5,(IF(E7="",10^E6,(IF(E8="",10^E7,(IF(E9="",10^E8,10^E9))))))))))</f>
        <v>3162277660.1683846</v>
      </c>
      <c r="H4" s="1091">
        <f>IF(G4="","",(G4*$H$10^(-2*$E$10)))</f>
        <v>1180116119.8109338</v>
      </c>
      <c r="I4" s="533" t="s">
        <v>747</v>
      </c>
      <c r="J4" s="1092"/>
      <c r="K4" s="93"/>
      <c r="L4" s="2"/>
      <c r="M4" s="301"/>
      <c r="N4" s="301" t="s">
        <v>600</v>
      </c>
      <c r="O4" s="302"/>
      <c r="P4" s="26"/>
      <c r="Q4" s="26"/>
      <c r="R4" s="26"/>
      <c r="S4" s="26"/>
      <c r="T4" s="26"/>
      <c r="U4" s="26"/>
      <c r="V4" s="26"/>
      <c r="W4" s="26"/>
      <c r="X4" s="26"/>
      <c r="Y4" s="26"/>
      <c r="Z4" s="893" t="s">
        <v>919</v>
      </c>
      <c r="AA4" s="18"/>
      <c r="AB4" s="415"/>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57"/>
      <c r="BG4" s="57"/>
      <c r="BH4" s="57"/>
      <c r="BI4" s="57"/>
      <c r="BJ4" s="57"/>
      <c r="BK4" s="57"/>
      <c r="BL4" s="57"/>
      <c r="BM4" s="26"/>
      <c r="BN4" s="26"/>
    </row>
    <row r="5" spans="1:66" ht="19.5">
      <c r="A5" s="291"/>
      <c r="B5" s="292" t="s">
        <v>1039</v>
      </c>
      <c r="C5" s="293"/>
      <c r="D5" s="533" t="s">
        <v>987</v>
      </c>
      <c r="E5" s="237">
        <f>IF(VLOOKUP(E$3,Database!$B$22:$N$301,5)="","",VLOOKUP(E$3,Database!$B$22:$N$301,5))</f>
        <v>9.5</v>
      </c>
      <c r="F5" s="1093" t="s">
        <v>489</v>
      </c>
      <c r="G5" s="1094">
        <f>IF(E5="","",IF(E6="",G4*10^E4,(IF(E7="",G4*10^E5,(IF(E8="",G4*10^E6,(IF(E9="",G4*10^E7,G4*10^E8))))))))</f>
        <v>1.0000000000000046E+17</v>
      </c>
      <c r="H5" s="1095">
        <f>IF(G5="","",(G5*$H$10^(-4*$E$10-2)))</f>
        <v>2.279749420487552E+16</v>
      </c>
      <c r="I5" s="533" t="s">
        <v>748</v>
      </c>
      <c r="J5" s="1096"/>
      <c r="K5" s="93"/>
      <c r="L5" s="2"/>
      <c r="M5" s="316"/>
      <c r="N5" s="316" t="s">
        <v>601</v>
      </c>
      <c r="O5" s="317"/>
      <c r="P5" s="26"/>
      <c r="Q5" s="26"/>
      <c r="R5" s="26"/>
      <c r="S5" s="26"/>
      <c r="T5" s="26"/>
      <c r="U5" s="26"/>
      <c r="V5" s="26"/>
      <c r="W5" s="26"/>
      <c r="X5" s="26"/>
      <c r="Y5" s="26"/>
      <c r="Z5" s="893" t="s">
        <v>920</v>
      </c>
      <c r="AA5" s="18"/>
      <c r="AB5" s="415"/>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57"/>
      <c r="BG5" s="57"/>
      <c r="BH5" s="57"/>
      <c r="BI5" s="57"/>
      <c r="BJ5" s="57"/>
      <c r="BK5" s="57"/>
      <c r="BL5" s="57"/>
      <c r="BM5" s="26"/>
      <c r="BN5" s="26"/>
    </row>
    <row r="6" spans="1:66" ht="19.5">
      <c r="A6" s="279"/>
      <c r="B6" s="280" t="s">
        <v>1165</v>
      </c>
      <c r="C6" s="281"/>
      <c r="D6" s="533" t="s">
        <v>988</v>
      </c>
      <c r="E6" s="237" t="str">
        <f>IF(VLOOKUP(E$3,Database!$B$22:$N$301,6)="","",VLOOKUP(E$3,Database!$B$22:$N$301,6))</f>
        <v/>
      </c>
      <c r="F6" s="1093" t="s">
        <v>491</v>
      </c>
      <c r="G6" s="1094" t="str">
        <f>IF(E6="","",IF(E7="",G5*10^E4,(IF(E8="",G5*10^E5,(IF(E9="",G5*10^E6,G5*10^E7))))))</f>
        <v/>
      </c>
      <c r="H6" s="1095" t="str">
        <f>IF(G6="","",(G6*$H$10^(-6*$E$10-6)))</f>
        <v/>
      </c>
      <c r="I6" s="533" t="s">
        <v>749</v>
      </c>
      <c r="J6" s="1097"/>
      <c r="K6" s="93"/>
      <c r="L6" s="2"/>
      <c r="M6" s="2"/>
      <c r="N6" s="26"/>
      <c r="O6" s="26"/>
      <c r="P6" s="26"/>
      <c r="Q6" s="26"/>
      <c r="R6" s="26"/>
      <c r="S6" s="26"/>
      <c r="T6" s="26"/>
      <c r="U6" s="26"/>
      <c r="V6" s="26"/>
      <c r="W6" s="26"/>
      <c r="X6" s="26"/>
      <c r="Y6" s="26"/>
      <c r="Z6" s="893" t="s">
        <v>921</v>
      </c>
      <c r="AA6" s="18"/>
      <c r="AB6" s="415"/>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57"/>
      <c r="BG6" s="57"/>
      <c r="BH6" s="57"/>
      <c r="BI6" s="57"/>
      <c r="BJ6" s="57"/>
      <c r="BK6" s="57"/>
      <c r="BL6" s="57"/>
      <c r="BM6" s="26"/>
      <c r="BN6" s="26"/>
    </row>
    <row r="7" spans="1:66" ht="19.5">
      <c r="A7" s="1057"/>
      <c r="B7" s="1058" t="s">
        <v>1040</v>
      </c>
      <c r="C7" s="1059">
        <v>0.1</v>
      </c>
      <c r="D7" s="533" t="s">
        <v>989</v>
      </c>
      <c r="E7" s="237" t="str">
        <f>IF(VLOOKUP(E$3,Database!$B$22:$N$301,7)="","",VLOOKUP(E$3,Database!$B$22:$N$301,7))</f>
        <v/>
      </c>
      <c r="F7" s="1093" t="s">
        <v>493</v>
      </c>
      <c r="G7" s="1094" t="str">
        <f>IF(E7="","",IF(E8="",G6*10^E4,(IF(E9="",G6*10^E5,G6*10^E6))))</f>
        <v/>
      </c>
      <c r="H7" s="1095" t="str">
        <f>IF(G7="","",(G7*$H$10^(-8*$E$10-12)))</f>
        <v/>
      </c>
      <c r="I7" s="533" t="s">
        <v>750</v>
      </c>
      <c r="J7" s="1098"/>
      <c r="K7" s="93"/>
      <c r="L7" s="2"/>
      <c r="M7" s="1103" t="s">
        <v>616</v>
      </c>
      <c r="N7" s="26"/>
      <c r="O7" s="26"/>
      <c r="P7" s="26"/>
      <c r="Q7" s="26"/>
      <c r="R7" s="26"/>
      <c r="S7" s="26"/>
      <c r="T7" s="26"/>
      <c r="U7" s="26"/>
      <c r="V7" s="26"/>
      <c r="W7" s="26"/>
      <c r="X7" s="26"/>
      <c r="Y7" s="26"/>
      <c r="Z7" s="416" t="s">
        <v>662</v>
      </c>
      <c r="AA7" s="417"/>
      <c r="AB7" s="418"/>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57"/>
      <c r="BG7" s="57"/>
      <c r="BH7" s="57"/>
      <c r="BI7" s="57"/>
      <c r="BJ7" s="57"/>
      <c r="BK7" s="57"/>
      <c r="BL7" s="57"/>
      <c r="BM7" s="26"/>
      <c r="BN7" s="26"/>
    </row>
    <row r="8" spans="1:66" ht="19.5">
      <c r="A8" s="1057"/>
      <c r="B8" s="1058" t="s">
        <v>1130</v>
      </c>
      <c r="C8" s="1060"/>
      <c r="D8" s="533" t="s">
        <v>990</v>
      </c>
      <c r="E8" s="237" t="str">
        <f>IF(VLOOKUP(E$3,Database!$B$22:$N$301,8)="","",VLOOKUP(E$3,Database!$B$22:$N$301,8))</f>
        <v/>
      </c>
      <c r="F8" s="1093" t="s">
        <v>495</v>
      </c>
      <c r="G8" s="1094" t="str">
        <f>IF(E8="","",IF(E9="",G7*10^E4,G7*10^E5))</f>
        <v/>
      </c>
      <c r="H8" s="1095" t="str">
        <f>IF(G8="","",(G8*$H$10^(-10*$E$10-20)))</f>
        <v/>
      </c>
      <c r="I8" s="534" t="s">
        <v>751</v>
      </c>
      <c r="J8" s="1099"/>
      <c r="K8" s="93"/>
      <c r="L8" s="2"/>
      <c r="M8" s="1104" t="s">
        <v>617</v>
      </c>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57"/>
      <c r="BG8" s="57"/>
      <c r="BH8" s="57"/>
      <c r="BI8" s="57"/>
      <c r="BJ8" s="57"/>
      <c r="BK8" s="57"/>
      <c r="BL8" s="57"/>
      <c r="BM8" s="26"/>
      <c r="BN8" s="26"/>
    </row>
    <row r="9" spans="1:66" ht="19.5">
      <c r="A9" s="1061"/>
      <c r="B9" s="1058" t="s">
        <v>1041</v>
      </c>
      <c r="C9" s="1059">
        <v>0.05</v>
      </c>
      <c r="D9" s="534" t="s">
        <v>991</v>
      </c>
      <c r="E9" s="237" t="str">
        <f>IF(VLOOKUP(E$3,Database!$B$22:$N$301,9)="","",VLOOKUP(E$3,Database!$B$22:$N$301,9))</f>
        <v/>
      </c>
      <c r="F9" s="1093" t="s">
        <v>497</v>
      </c>
      <c r="G9" s="1094" t="str">
        <f>IF(E9="","",G8*10^E4)</f>
        <v/>
      </c>
      <c r="H9" s="1100" t="str">
        <f>IF(G9="","",(G9*$H$10^(-12*$E$10-30)))</f>
        <v/>
      </c>
      <c r="I9" s="533" t="s">
        <v>752</v>
      </c>
      <c r="J9" s="1101"/>
      <c r="K9" s="93"/>
      <c r="L9" s="2"/>
      <c r="M9" s="1103" t="s">
        <v>618</v>
      </c>
      <c r="N9" s="26"/>
      <c r="O9" s="158"/>
      <c r="P9" s="586" t="s">
        <v>1111</v>
      </c>
      <c r="Q9" s="158"/>
      <c r="R9" s="158"/>
      <c r="S9" s="158"/>
      <c r="T9" s="158"/>
      <c r="U9" s="158"/>
      <c r="V9" s="158"/>
      <c r="W9" s="158"/>
      <c r="X9" s="550"/>
      <c r="Y9" s="158"/>
      <c r="Z9" s="158" t="s">
        <v>664</v>
      </c>
      <c r="AA9" s="158"/>
      <c r="AB9" s="158"/>
      <c r="AC9" s="158"/>
      <c r="AD9" s="158"/>
      <c r="AE9" s="158"/>
      <c r="AF9" s="158"/>
      <c r="AG9" s="158"/>
      <c r="AH9" s="158"/>
      <c r="AI9" s="158"/>
      <c r="AJ9" s="158"/>
      <c r="AK9" s="158"/>
      <c r="AL9" s="550"/>
      <c r="AM9" s="586" t="s">
        <v>1112</v>
      </c>
      <c r="AN9" s="158"/>
      <c r="AO9" s="158"/>
      <c r="AP9" s="158"/>
      <c r="AQ9" s="158"/>
      <c r="AR9" s="158"/>
      <c r="AS9" s="158"/>
      <c r="AT9" s="158"/>
      <c r="AU9" s="550"/>
      <c r="AV9" s="158"/>
      <c r="AW9" s="204"/>
      <c r="AX9" s="158" t="s">
        <v>674</v>
      </c>
      <c r="AY9" s="204"/>
      <c r="AZ9" s="158"/>
      <c r="BA9" s="158"/>
      <c r="BB9" s="158"/>
      <c r="BC9" s="158"/>
      <c r="BD9" s="158"/>
      <c r="BE9" s="158"/>
      <c r="BF9" s="158"/>
      <c r="BG9" s="550"/>
      <c r="BH9" s="158"/>
      <c r="BI9" s="586" t="s">
        <v>780</v>
      </c>
      <c r="BJ9" s="586"/>
      <c r="BK9" s="158"/>
      <c r="BL9" s="550"/>
      <c r="BM9" s="26"/>
      <c r="BN9" s="26"/>
    </row>
    <row r="10" spans="1:66" ht="16.5" customHeight="1">
      <c r="A10" s="1061"/>
      <c r="B10" s="1062" t="str">
        <f>IF(C9&gt;C7,"Generally C9 &lt; C7","")</f>
        <v/>
      </c>
      <c r="C10" s="1060"/>
      <c r="D10" s="552" t="s">
        <v>594</v>
      </c>
      <c r="E10" s="553">
        <f>IF(VLOOKUP(E$3,Database!$B$22:$N$301,3)="","",VLOOKUP(E$3,Database!$B$22:$N$301,3))</f>
        <v>-2</v>
      </c>
      <c r="F10" s="1067" t="s">
        <v>1042</v>
      </c>
      <c r="G10" s="1068">
        <v>1</v>
      </c>
      <c r="H10" s="1069">
        <f>10^(-0.509*(H3^0.5/(1+H3^0.5)-0.3*H3))</f>
        <v>0.78159394394683346</v>
      </c>
      <c r="I10" s="1061"/>
      <c r="J10" s="1060"/>
      <c r="K10" s="93"/>
      <c r="L10" s="2"/>
      <c r="M10" s="2"/>
      <c r="N10" s="26"/>
      <c r="O10" s="159"/>
      <c r="P10" s="91"/>
      <c r="Q10" s="387" t="s">
        <v>665</v>
      </c>
      <c r="R10" s="388" t="s">
        <v>666</v>
      </c>
      <c r="S10" s="389" t="s">
        <v>667</v>
      </c>
      <c r="T10" s="390" t="s">
        <v>668</v>
      </c>
      <c r="U10" s="391" t="s">
        <v>669</v>
      </c>
      <c r="V10" s="392" t="s">
        <v>670</v>
      </c>
      <c r="W10" s="393" t="s">
        <v>671</v>
      </c>
      <c r="X10" s="551" t="s">
        <v>759</v>
      </c>
      <c r="Y10" s="159"/>
      <c r="Z10" s="159"/>
      <c r="AA10" s="91"/>
      <c r="AB10" s="387" t="s">
        <v>665</v>
      </c>
      <c r="AC10" s="388" t="s">
        <v>666</v>
      </c>
      <c r="AD10" s="389" t="s">
        <v>667</v>
      </c>
      <c r="AE10" s="390" t="s">
        <v>668</v>
      </c>
      <c r="AF10" s="391" t="s">
        <v>669</v>
      </c>
      <c r="AG10" s="392" t="s">
        <v>670</v>
      </c>
      <c r="AH10" s="393" t="s">
        <v>671</v>
      </c>
      <c r="AI10" s="393" t="s">
        <v>672</v>
      </c>
      <c r="AJ10" s="393" t="s">
        <v>672</v>
      </c>
      <c r="AK10" s="393" t="s">
        <v>672</v>
      </c>
      <c r="AL10" s="551" t="s">
        <v>759</v>
      </c>
      <c r="AM10" s="91"/>
      <c r="AN10" s="211" t="s">
        <v>675</v>
      </c>
      <c r="AO10" s="160" t="s">
        <v>676</v>
      </c>
      <c r="AP10" s="161" t="s">
        <v>677</v>
      </c>
      <c r="AQ10" s="162" t="s">
        <v>678</v>
      </c>
      <c r="AR10" s="163" t="s">
        <v>679</v>
      </c>
      <c r="AS10" s="164" t="s">
        <v>680</v>
      </c>
      <c r="AT10" s="165" t="s">
        <v>681</v>
      </c>
      <c r="AU10" s="551" t="s">
        <v>759</v>
      </c>
      <c r="AV10" s="159" t="s">
        <v>673</v>
      </c>
      <c r="AW10" s="91" t="s">
        <v>673</v>
      </c>
      <c r="AX10" s="211" t="s">
        <v>675</v>
      </c>
      <c r="AY10" s="160" t="s">
        <v>676</v>
      </c>
      <c r="AZ10" s="161" t="s">
        <v>677</v>
      </c>
      <c r="BA10" s="162" t="s">
        <v>678</v>
      </c>
      <c r="BB10" s="163" t="s">
        <v>679</v>
      </c>
      <c r="BC10" s="164" t="s">
        <v>680</v>
      </c>
      <c r="BD10" s="165" t="s">
        <v>681</v>
      </c>
      <c r="BE10" s="91" t="s">
        <v>672</v>
      </c>
      <c r="BF10" s="91" t="s">
        <v>672</v>
      </c>
      <c r="BG10" s="551" t="s">
        <v>759</v>
      </c>
      <c r="BH10" s="587" t="s">
        <v>777</v>
      </c>
      <c r="BI10" s="587"/>
      <c r="BJ10" s="587" t="s">
        <v>777</v>
      </c>
      <c r="BK10" s="91"/>
      <c r="BL10" s="551" t="s">
        <v>781</v>
      </c>
      <c r="BM10" s="26"/>
      <c r="BN10" s="26"/>
    </row>
    <row r="11" spans="1:66" ht="21" customHeight="1" thickBot="1">
      <c r="A11" s="1063"/>
      <c r="B11" s="1064" t="str">
        <f>IF(C7&gt;0.1, "Best accuracy for I &lt; 0.1 mol/L","")</f>
        <v/>
      </c>
      <c r="C11" s="1060"/>
      <c r="D11" s="552" t="s">
        <v>1043</v>
      </c>
      <c r="E11" s="1070">
        <f>IF(E4="","",IF(E5="",1,(IF(E6="",2,(IF(E7="",3,(IF(E8="",4,(IF(E9="",5,6))))))))))</f>
        <v>2</v>
      </c>
      <c r="F11" s="1071" t="s">
        <v>335</v>
      </c>
      <c r="G11" s="1072">
        <v>13.997</v>
      </c>
      <c r="H11" s="1073">
        <f>G11+LOG10(H10^2)</f>
        <v>13.782962371327621</v>
      </c>
      <c r="I11" s="1063"/>
      <c r="J11" s="1074"/>
      <c r="K11" s="93"/>
      <c r="L11" s="26"/>
      <c r="M11" s="2"/>
      <c r="N11" s="26"/>
      <c r="O11" s="166" t="s">
        <v>331</v>
      </c>
      <c r="P11" s="166" t="s">
        <v>532</v>
      </c>
      <c r="Q11" s="166" t="s">
        <v>317</v>
      </c>
      <c r="R11" s="166" t="s">
        <v>318</v>
      </c>
      <c r="S11" s="166" t="s">
        <v>319</v>
      </c>
      <c r="T11" s="166" t="s">
        <v>320</v>
      </c>
      <c r="U11" s="166" t="s">
        <v>321</v>
      </c>
      <c r="V11" s="166" t="s">
        <v>322</v>
      </c>
      <c r="W11" s="166" t="s">
        <v>323</v>
      </c>
      <c r="X11" s="92" t="s">
        <v>760</v>
      </c>
      <c r="Y11" s="166" t="s">
        <v>439</v>
      </c>
      <c r="Z11" s="166" t="s">
        <v>331</v>
      </c>
      <c r="AA11" s="166" t="s">
        <v>532</v>
      </c>
      <c r="AB11" s="166" t="s">
        <v>317</v>
      </c>
      <c r="AC11" s="166" t="s">
        <v>318</v>
      </c>
      <c r="AD11" s="166" t="s">
        <v>319</v>
      </c>
      <c r="AE11" s="166" t="s">
        <v>320</v>
      </c>
      <c r="AF11" s="166" t="s">
        <v>321</v>
      </c>
      <c r="AG11" s="166" t="s">
        <v>322</v>
      </c>
      <c r="AH11" s="166" t="s">
        <v>323</v>
      </c>
      <c r="AI11" s="166" t="s">
        <v>440</v>
      </c>
      <c r="AJ11" s="166" t="s">
        <v>763</v>
      </c>
      <c r="AK11" s="166" t="s">
        <v>762</v>
      </c>
      <c r="AL11" s="92" t="s">
        <v>760</v>
      </c>
      <c r="AM11" s="166" t="s">
        <v>331</v>
      </c>
      <c r="AN11" s="166" t="s">
        <v>317</v>
      </c>
      <c r="AO11" s="166" t="s">
        <v>318</v>
      </c>
      <c r="AP11" s="166" t="s">
        <v>319</v>
      </c>
      <c r="AQ11" s="166" t="s">
        <v>320</v>
      </c>
      <c r="AR11" s="166" t="s">
        <v>321</v>
      </c>
      <c r="AS11" s="166" t="s">
        <v>322</v>
      </c>
      <c r="AT11" s="166" t="s">
        <v>323</v>
      </c>
      <c r="AU11" s="92" t="s">
        <v>760</v>
      </c>
      <c r="AV11" s="166" t="s">
        <v>439</v>
      </c>
      <c r="AW11" s="166" t="s">
        <v>331</v>
      </c>
      <c r="AX11" s="166" t="s">
        <v>317</v>
      </c>
      <c r="AY11" s="166" t="s">
        <v>318</v>
      </c>
      <c r="AZ11" s="166" t="s">
        <v>319</v>
      </c>
      <c r="BA11" s="166" t="s">
        <v>320</v>
      </c>
      <c r="BB11" s="166" t="s">
        <v>321</v>
      </c>
      <c r="BC11" s="166" t="s">
        <v>322</v>
      </c>
      <c r="BD11" s="166" t="s">
        <v>323</v>
      </c>
      <c r="BE11" s="166" t="s">
        <v>587</v>
      </c>
      <c r="BF11" s="166" t="s">
        <v>761</v>
      </c>
      <c r="BG11" s="92" t="s">
        <v>760</v>
      </c>
      <c r="BH11" s="166" t="s">
        <v>331</v>
      </c>
      <c r="BI11" s="166" t="s">
        <v>778</v>
      </c>
      <c r="BJ11" s="166" t="s">
        <v>439</v>
      </c>
      <c r="BK11" s="166" t="s">
        <v>778</v>
      </c>
      <c r="BL11" s="588" t="s">
        <v>779</v>
      </c>
      <c r="BM11" s="26"/>
      <c r="BN11" s="26"/>
    </row>
    <row r="12" spans="1:66" ht="24" customHeight="1" thickTop="1" thickBot="1">
      <c r="A12" s="1065"/>
      <c r="B12" s="1066"/>
      <c r="C12" s="585" t="s">
        <v>1168</v>
      </c>
      <c r="D12" s="1075">
        <v>3.2000000000000006</v>
      </c>
      <c r="E12" s="1076" t="s">
        <v>1044</v>
      </c>
      <c r="F12" s="1077"/>
      <c r="G12" s="1078" t="str">
        <f>IF(VLOOKUP(E$3,Database!$B$22:$N$301,2)="","",VLOOKUP(E$3,Database!$B$22:$N$301,2))</f>
        <v>TBBPA</v>
      </c>
      <c r="H12" s="1079"/>
      <c r="I12" s="584"/>
      <c r="J12" s="585" t="s">
        <v>1045</v>
      </c>
      <c r="K12" s="585">
        <v>2</v>
      </c>
      <c r="L12" s="585"/>
      <c r="M12" s="1102"/>
      <c r="N12" s="26"/>
      <c r="O12" s="167">
        <v>0</v>
      </c>
      <c r="P12" s="167">
        <v>1.9999999595406595</v>
      </c>
      <c r="Q12" s="167">
        <v>2.6796325201721075E-17</v>
      </c>
      <c r="R12" s="167">
        <v>4.0459340258652391E-8</v>
      </c>
      <c r="S12" s="167">
        <v>0.99999995954065968</v>
      </c>
      <c r="T12" s="167"/>
      <c r="U12" s="167"/>
      <c r="V12" s="167"/>
      <c r="W12" s="167"/>
      <c r="X12" s="554">
        <v>2.9460310196535806</v>
      </c>
      <c r="Y12" s="554">
        <v>0</v>
      </c>
      <c r="Z12" s="167">
        <v>1.8171072800722754</v>
      </c>
      <c r="AA12" s="167">
        <v>1.9999973446303998</v>
      </c>
      <c r="AB12" s="167">
        <v>1.1542201831276124E-13</v>
      </c>
      <c r="AC12" s="167">
        <v>2.6553693692933535E-6</v>
      </c>
      <c r="AD12" s="167">
        <v>0.99999734463051526</v>
      </c>
      <c r="AE12" s="167"/>
      <c r="AF12" s="167"/>
      <c r="AG12" s="167"/>
      <c r="AH12" s="167"/>
      <c r="AI12" s="167">
        <v>0.12979337714801967</v>
      </c>
      <c r="AJ12" s="167">
        <v>0.25958675429603933</v>
      </c>
      <c r="AK12" s="167">
        <v>6.4896688574009834E-2</v>
      </c>
      <c r="AL12" s="167">
        <v>4.4888282860756884E-2</v>
      </c>
      <c r="AM12" s="167">
        <v>0</v>
      </c>
      <c r="AN12" s="167">
        <v>-16.571817473775944</v>
      </c>
      <c r="AO12" s="167">
        <v>-7.3929333411596803</v>
      </c>
      <c r="AP12" s="167">
        <v>-1.7571154842770881E-8</v>
      </c>
      <c r="AQ12" s="167"/>
      <c r="AR12" s="167"/>
      <c r="AS12" s="167"/>
      <c r="AT12" s="167"/>
      <c r="AU12" s="167">
        <v>0.46923427751193569</v>
      </c>
      <c r="AV12" s="167">
        <v>0</v>
      </c>
      <c r="AW12" s="167">
        <v>0</v>
      </c>
      <c r="AX12" s="167">
        <v>-12.937627577129943</v>
      </c>
      <c r="AY12" s="167">
        <v>-5.5758389606542913</v>
      </c>
      <c r="AZ12" s="167">
        <v>-1.1532063798481925E-6</v>
      </c>
      <c r="BA12" s="167"/>
      <c r="BB12" s="167"/>
      <c r="BC12" s="167"/>
      <c r="BD12" s="167"/>
      <c r="BE12" s="167">
        <v>-6.9616529828158429</v>
      </c>
      <c r="BF12" s="167">
        <v>-3.4808264914079214</v>
      </c>
      <c r="BG12" s="167">
        <v>-1.3478582815404516</v>
      </c>
      <c r="BH12" s="167">
        <v>0</v>
      </c>
      <c r="BI12" s="167">
        <v>-4.0459340544529709E-8</v>
      </c>
      <c r="BJ12" s="167">
        <v>1.8171072800722754</v>
      </c>
      <c r="BK12" s="167">
        <v>-2.6553696002018512E-6</v>
      </c>
      <c r="BL12" s="167">
        <v>-1.7404132457039607</v>
      </c>
      <c r="BM12" s="26"/>
      <c r="BN12" s="26"/>
    </row>
    <row r="13" spans="1:66" ht="13.5" thickTop="1">
      <c r="A13" s="26"/>
      <c r="B13" s="26"/>
      <c r="C13" s="26"/>
      <c r="D13" s="26"/>
      <c r="E13" s="26"/>
      <c r="F13" s="26"/>
      <c r="G13" s="26"/>
      <c r="H13" s="26"/>
      <c r="I13" s="26"/>
      <c r="J13" s="26"/>
      <c r="K13" s="26"/>
      <c r="L13" s="26"/>
      <c r="M13" s="2"/>
      <c r="N13" s="26"/>
      <c r="O13" s="167">
        <v>0.2</v>
      </c>
      <c r="P13" s="167">
        <v>1.9999999358762683</v>
      </c>
      <c r="Q13" s="167">
        <v>6.7309324095687109E-17</v>
      </c>
      <c r="R13" s="167">
        <v>6.4123731429956865E-8</v>
      </c>
      <c r="S13" s="167">
        <v>0.99999993587626845</v>
      </c>
      <c r="T13" s="167"/>
      <c r="U13" s="167"/>
      <c r="V13" s="167"/>
      <c r="W13" s="167"/>
      <c r="X13" s="555">
        <v>1.8588199133604402</v>
      </c>
      <c r="Y13" s="555">
        <v>2.3004448812571354</v>
      </c>
      <c r="Z13" s="167">
        <v>2.03204784726322</v>
      </c>
      <c r="AA13" s="167">
        <v>1.9999956442310791</v>
      </c>
      <c r="AB13" s="167">
        <v>3.1057683522215443E-13</v>
      </c>
      <c r="AC13" s="167">
        <v>4.3557682999785096E-6</v>
      </c>
      <c r="AD13" s="167">
        <v>0.99999564423138954</v>
      </c>
      <c r="AE13" s="167"/>
      <c r="AF13" s="167"/>
      <c r="AG13" s="167"/>
      <c r="AH13" s="167"/>
      <c r="AI13" s="167">
        <v>0.14514627480451572</v>
      </c>
      <c r="AJ13" s="167">
        <v>0.29029254960903145</v>
      </c>
      <c r="AK13" s="167">
        <v>7.2573137402257862E-2</v>
      </c>
      <c r="AL13" s="167">
        <v>2.7365124362053031E-2</v>
      </c>
      <c r="AM13" s="167">
        <v>0.2</v>
      </c>
      <c r="AN13" s="167">
        <v>-16.1718200736486</v>
      </c>
      <c r="AO13" s="167">
        <v>-7.1929346462346322</v>
      </c>
      <c r="AP13" s="167">
        <v>-2.7848403371309259E-8</v>
      </c>
      <c r="AQ13" s="167"/>
      <c r="AR13" s="167"/>
      <c r="AS13" s="167"/>
      <c r="AT13" s="167"/>
      <c r="AU13" s="167">
        <v>0.26923557334782033</v>
      </c>
      <c r="AV13" s="167">
        <v>2.3004448812571354</v>
      </c>
      <c r="AW13" s="167">
        <v>0.2</v>
      </c>
      <c r="AX13" s="167">
        <v>-12.507749964265345</v>
      </c>
      <c r="AY13" s="167">
        <v>-5.3609005234578753</v>
      </c>
      <c r="AZ13" s="167">
        <v>-1.8916781450760598E-6</v>
      </c>
      <c r="BA13" s="167"/>
      <c r="BB13" s="167"/>
      <c r="BC13" s="167"/>
      <c r="BD13" s="167"/>
      <c r="BE13" s="167">
        <v>-6.8388298015638744</v>
      </c>
      <c r="BF13" s="167">
        <v>-3.4194149007819372</v>
      </c>
      <c r="BG13" s="167">
        <v>-1.5627924562800397</v>
      </c>
      <c r="BH13" s="167">
        <v>0.2</v>
      </c>
      <c r="BI13" s="167">
        <v>-6.412373165787244E-8</v>
      </c>
      <c r="BJ13" s="167">
        <v>2.03204784726322</v>
      </c>
      <c r="BK13" s="167">
        <v>-4.3557689208828521E-6</v>
      </c>
      <c r="BL13" s="167">
        <v>-1.7097074503909686</v>
      </c>
      <c r="BM13" s="26"/>
      <c r="BN13" s="26"/>
    </row>
    <row r="14" spans="1:66">
      <c r="A14" s="26"/>
      <c r="B14" s="26"/>
      <c r="C14" s="26"/>
      <c r="D14" s="26"/>
      <c r="E14" s="26"/>
      <c r="F14" s="26"/>
      <c r="G14" s="26"/>
      <c r="H14" s="26"/>
      <c r="I14" s="26"/>
      <c r="J14" s="26"/>
      <c r="K14" s="26"/>
      <c r="L14" s="26"/>
      <c r="M14" s="2"/>
      <c r="N14" s="26"/>
      <c r="O14" s="167">
        <v>0.4</v>
      </c>
      <c r="P14" s="167">
        <v>1.9999998983707383</v>
      </c>
      <c r="Q14" s="167">
        <v>1.6907337156885027E-16</v>
      </c>
      <c r="R14" s="167">
        <v>1.0162926160688368E-7</v>
      </c>
      <c r="S14" s="167">
        <v>0.99999989837073822</v>
      </c>
      <c r="T14" s="167"/>
      <c r="U14" s="167"/>
      <c r="V14" s="167"/>
      <c r="W14" s="167"/>
      <c r="X14" s="555">
        <v>1.1728360834433429</v>
      </c>
      <c r="Y14" s="555">
        <v>4.3254298929241486</v>
      </c>
      <c r="Z14" s="167">
        <v>2.2461396194374883</v>
      </c>
      <c r="AA14" s="167">
        <v>1.9999928689178728</v>
      </c>
      <c r="AB14" s="167">
        <v>8.3243704564385056E-13</v>
      </c>
      <c r="AC14" s="167">
        <v>7.1310804624972006E-6</v>
      </c>
      <c r="AD14" s="167">
        <v>0.99999286891870509</v>
      </c>
      <c r="AE14" s="167"/>
      <c r="AF14" s="167"/>
      <c r="AG14" s="167"/>
      <c r="AH14" s="167"/>
      <c r="AI14" s="167">
        <v>0.16043854424553489</v>
      </c>
      <c r="AJ14" s="167">
        <v>0.32087708849106977</v>
      </c>
      <c r="AK14" s="167">
        <v>8.0219272122767443E-2</v>
      </c>
      <c r="AL14" s="167">
        <v>1.6715486711544884E-2</v>
      </c>
      <c r="AM14" s="167">
        <v>0.4</v>
      </c>
      <c r="AN14" s="167">
        <v>-15.771822679532347</v>
      </c>
      <c r="AO14" s="167">
        <v>-6.9929359573206753</v>
      </c>
      <c r="AP14" s="167">
        <v>-4.4136744092840103E-8</v>
      </c>
      <c r="AQ14" s="167"/>
      <c r="AR14" s="167"/>
      <c r="AS14" s="167"/>
      <c r="AT14" s="167"/>
      <c r="AU14" s="167">
        <v>6.9236870753317442E-2</v>
      </c>
      <c r="AV14" s="167">
        <v>4.3254298929241486</v>
      </c>
      <c r="AW14" s="167">
        <v>0.4</v>
      </c>
      <c r="AX14" s="167">
        <v>-12.079570397274262</v>
      </c>
      <c r="AY14" s="167">
        <v>-5.1468113426133852</v>
      </c>
      <c r="AZ14" s="167">
        <v>-3.0969802489315983E-6</v>
      </c>
      <c r="BA14" s="167"/>
      <c r="BB14" s="167"/>
      <c r="BC14" s="167"/>
      <c r="BD14" s="167"/>
      <c r="BE14" s="167">
        <v>-6.7164916460357205</v>
      </c>
      <c r="BF14" s="167">
        <v>-3.3582458230178602</v>
      </c>
      <c r="BG14" s="167">
        <v>-1.7768694698533114</v>
      </c>
      <c r="BH14" s="167">
        <v>0.4</v>
      </c>
      <c r="BI14" s="167">
        <v>-1.0162926167289754E-7</v>
      </c>
      <c r="BJ14" s="167">
        <v>2.2461396194374883</v>
      </c>
      <c r="BK14" s="167">
        <v>-7.1310821272430047E-6</v>
      </c>
      <c r="BL14" s="167">
        <v>-1.6791229115089301</v>
      </c>
      <c r="BM14" s="26"/>
      <c r="BN14" s="26"/>
    </row>
    <row r="15" spans="1:66">
      <c r="A15" s="26"/>
      <c r="B15" s="26"/>
      <c r="C15" s="26"/>
      <c r="D15" s="26"/>
      <c r="E15" s="26"/>
      <c r="F15" s="26"/>
      <c r="G15" s="26"/>
      <c r="H15" s="26"/>
      <c r="I15" s="26"/>
      <c r="J15" s="26"/>
      <c r="K15" s="26"/>
      <c r="L15" s="26"/>
      <c r="M15" s="2"/>
      <c r="N15" s="26"/>
      <c r="O15" s="167">
        <v>0.60000000000000009</v>
      </c>
      <c r="P15" s="167">
        <v>1.9999998389284841</v>
      </c>
      <c r="Q15" s="167">
        <v>4.2469308272865438E-16</v>
      </c>
      <c r="R15" s="167">
        <v>1.6107151530114408E-7</v>
      </c>
      <c r="S15" s="167">
        <v>0.99999983892848432</v>
      </c>
      <c r="T15" s="167"/>
      <c r="U15" s="167"/>
      <c r="V15" s="167"/>
      <c r="W15" s="167"/>
      <c r="X15" s="555">
        <v>0.74000955188162976</v>
      </c>
      <c r="Y15" s="555">
        <v>5.9982889695675112</v>
      </c>
      <c r="Z15" s="167">
        <v>2.4592837415154789</v>
      </c>
      <c r="AA15" s="167">
        <v>1.9999883507581364</v>
      </c>
      <c r="AB15" s="167">
        <v>2.2214558234290088E-12</v>
      </c>
      <c r="AC15" s="167">
        <v>1.1649237420692674E-5</v>
      </c>
      <c r="AD15" s="167">
        <v>0.99998835076035786</v>
      </c>
      <c r="AE15" s="167"/>
      <c r="AF15" s="167"/>
      <c r="AG15" s="167"/>
      <c r="AH15" s="167"/>
      <c r="AI15" s="167">
        <v>0.17566312439396278</v>
      </c>
      <c r="AJ15" s="167">
        <v>0.35132624878792557</v>
      </c>
      <c r="AK15" s="167">
        <v>8.7831562196981391E-2</v>
      </c>
      <c r="AL15" s="167">
        <v>1.0233177233495995E-2</v>
      </c>
      <c r="AM15" s="167">
        <v>0.60000000000000009</v>
      </c>
      <c r="AN15" s="167">
        <v>-15.371825294943033</v>
      </c>
      <c r="AO15" s="167">
        <v>-6.7929372779336576</v>
      </c>
      <c r="AP15" s="167">
        <v>-6.9952023214108588E-8</v>
      </c>
      <c r="AQ15" s="167"/>
      <c r="AR15" s="167"/>
      <c r="AS15" s="167"/>
      <c r="AT15" s="167"/>
      <c r="AU15" s="167">
        <v>-0.13076182789849741</v>
      </c>
      <c r="AV15" s="167">
        <v>5.9982889695675112</v>
      </c>
      <c r="AW15" s="167">
        <v>0.60000000000000009</v>
      </c>
      <c r="AX15" s="167">
        <v>-11.653286875120438</v>
      </c>
      <c r="AY15" s="167">
        <v>-4.9336705626449531</v>
      </c>
      <c r="AZ15" s="167">
        <v>-5.0591972097025132E-6</v>
      </c>
      <c r="BA15" s="167"/>
      <c r="BB15" s="167"/>
      <c r="BC15" s="167"/>
      <c r="BD15" s="167"/>
      <c r="BE15" s="167">
        <v>-6.5946950048482975</v>
      </c>
      <c r="BF15" s="167">
        <v>-3.2973475024241488</v>
      </c>
      <c r="BG15" s="167">
        <v>-1.9899766208760554</v>
      </c>
      <c r="BH15" s="167">
        <v>0.60000000000000009</v>
      </c>
      <c r="BI15" s="167">
        <v>-1.6107151590283308E-7</v>
      </c>
      <c r="BJ15" s="167">
        <v>2.4592837415154789</v>
      </c>
      <c r="BK15" s="167">
        <v>-1.1649241863587179E-5</v>
      </c>
      <c r="BL15" s="167">
        <v>-1.6486737512120744</v>
      </c>
      <c r="BM15" s="26"/>
      <c r="BN15" s="26"/>
    </row>
    <row r="16" spans="1:66">
      <c r="A16" s="26"/>
      <c r="B16" s="26"/>
      <c r="C16" s="26"/>
      <c r="D16" s="26"/>
      <c r="E16" s="26"/>
      <c r="F16" s="26"/>
      <c r="G16" s="26"/>
      <c r="H16" s="26"/>
      <c r="I16" s="26"/>
      <c r="J16" s="26"/>
      <c r="K16" s="26"/>
      <c r="L16" s="26"/>
      <c r="M16" s="2"/>
      <c r="N16" s="26"/>
      <c r="O16" s="167">
        <v>0.8</v>
      </c>
      <c r="P16" s="167">
        <v>1.9999997447188738</v>
      </c>
      <c r="Q16" s="167">
        <v>1.0667806915610644E-15</v>
      </c>
      <c r="R16" s="167">
        <v>2.5528112405023821E-7</v>
      </c>
      <c r="S16" s="167">
        <v>0.99999974471887487</v>
      </c>
      <c r="T16" s="167"/>
      <c r="U16" s="167"/>
      <c r="V16" s="167"/>
      <c r="W16" s="167"/>
      <c r="X16" s="555">
        <v>0.46691447943525799</v>
      </c>
      <c r="Y16" s="555">
        <v>7.2857926934375428</v>
      </c>
      <c r="Z16" s="167">
        <v>2.6715840969865385</v>
      </c>
      <c r="AA16" s="167">
        <v>1.999981006940327</v>
      </c>
      <c r="AB16" s="167">
        <v>5.9052080438432641E-12</v>
      </c>
      <c r="AC16" s="167">
        <v>1.8993047862539218E-5</v>
      </c>
      <c r="AD16" s="167">
        <v>0.99998100694623215</v>
      </c>
      <c r="AE16" s="167"/>
      <c r="AF16" s="167"/>
      <c r="AG16" s="167"/>
      <c r="AH16" s="167"/>
      <c r="AI16" s="167">
        <v>0.19082743549903847</v>
      </c>
      <c r="AJ16" s="167">
        <v>0.38165487099807693</v>
      </c>
      <c r="AK16" s="167">
        <v>9.5413717749519233E-2</v>
      </c>
      <c r="AL16" s="167">
        <v>6.2777572148683724E-3</v>
      </c>
      <c r="AM16" s="167">
        <v>0.8</v>
      </c>
      <c r="AN16" s="167">
        <v>-14.971827925452896</v>
      </c>
      <c r="AO16" s="167">
        <v>-6.5929386136458179</v>
      </c>
      <c r="AP16" s="167">
        <v>-1.1086648037521479E-7</v>
      </c>
      <c r="AQ16" s="167"/>
      <c r="AR16" s="167"/>
      <c r="AS16" s="167"/>
      <c r="AT16" s="167"/>
      <c r="AU16" s="167">
        <v>-0.33076051664673145</v>
      </c>
      <c r="AV16" s="167">
        <v>7.2857926934375428</v>
      </c>
      <c r="AW16" s="167">
        <v>0.8</v>
      </c>
      <c r="AX16" s="167">
        <v>-11.228692102444612</v>
      </c>
      <c r="AY16" s="167">
        <v>-4.721374771010125</v>
      </c>
      <c r="AZ16" s="167">
        <v>-8.2486033779969544E-6</v>
      </c>
      <c r="BA16" s="167"/>
      <c r="BB16" s="167"/>
      <c r="BC16" s="167"/>
      <c r="BD16" s="167"/>
      <c r="BE16" s="167">
        <v>-6.4733805160076923</v>
      </c>
      <c r="BF16" s="167">
        <v>-3.2366902580038461</v>
      </c>
      <c r="BG16" s="167">
        <v>-2.2021812271688606</v>
      </c>
      <c r="BH16" s="167">
        <v>0.8</v>
      </c>
      <c r="BI16" s="167">
        <v>-2.5528112623796062E-7</v>
      </c>
      <c r="BJ16" s="167">
        <v>2.6715840969865385</v>
      </c>
      <c r="BK16" s="167">
        <v>-1.8993059673011459E-5</v>
      </c>
      <c r="BL16" s="167">
        <v>-1.6183451290019231</v>
      </c>
      <c r="BM16" s="26"/>
      <c r="BN16" s="26"/>
    </row>
    <row r="17" spans="1:66">
      <c r="A17" s="26"/>
      <c r="B17" s="26"/>
      <c r="C17" s="26"/>
      <c r="D17" s="26"/>
      <c r="E17" s="26"/>
      <c r="F17" s="26"/>
      <c r="G17" s="26"/>
      <c r="H17" s="26"/>
      <c r="I17" s="26"/>
      <c r="J17" s="26"/>
      <c r="K17" s="26"/>
      <c r="L17" s="26"/>
      <c r="M17" s="2"/>
      <c r="N17" s="26"/>
      <c r="O17" s="167">
        <v>1</v>
      </c>
      <c r="P17" s="167">
        <v>1.9999995954067395</v>
      </c>
      <c r="Q17" s="167">
        <v>2.6796315444269803E-15</v>
      </c>
      <c r="R17" s="167">
        <v>4.0459325526033717E-7</v>
      </c>
      <c r="S17" s="167">
        <v>0.9999995954067421</v>
      </c>
      <c r="T17" s="167"/>
      <c r="U17" s="167"/>
      <c r="V17" s="167"/>
      <c r="W17" s="167"/>
      <c r="X17" s="555">
        <v>0.29460314808064725</v>
      </c>
      <c r="Y17" s="555">
        <v>8.2150732792797498</v>
      </c>
      <c r="Z17" s="167">
        <v>2.8832299762264122</v>
      </c>
      <c r="AA17" s="167">
        <v>1.9999690802622501</v>
      </c>
      <c r="AB17" s="167">
        <v>1.5650268086015783E-11</v>
      </c>
      <c r="AC17" s="167">
        <v>3.0919706449464492E-5</v>
      </c>
      <c r="AD17" s="167">
        <v>0.99996908027790032</v>
      </c>
      <c r="AE17" s="167"/>
      <c r="AF17" s="167"/>
      <c r="AG17" s="167"/>
      <c r="AH17" s="167"/>
      <c r="AI17" s="167">
        <v>0.20594499830188659</v>
      </c>
      <c r="AJ17" s="167">
        <v>0.41188999660377318</v>
      </c>
      <c r="AK17" s="167">
        <v>0.10297249915094329</v>
      </c>
      <c r="AL17" s="167">
        <v>3.8584084185376145E-3</v>
      </c>
      <c r="AM17" s="167">
        <v>1</v>
      </c>
      <c r="AN17" s="167">
        <v>-14.571830579893339</v>
      </c>
      <c r="AO17" s="167">
        <v>-6.3929399732885575</v>
      </c>
      <c r="AP17" s="167">
        <v>-1.7571151730414806E-7</v>
      </c>
      <c r="AQ17" s="167"/>
      <c r="AR17" s="167"/>
      <c r="AS17" s="167"/>
      <c r="AT17" s="167"/>
      <c r="AU17" s="167">
        <v>-0.53075918051830873</v>
      </c>
      <c r="AV17" s="167">
        <v>8.2150732792797498</v>
      </c>
      <c r="AW17" s="167">
        <v>1</v>
      </c>
      <c r="AX17" s="167">
        <v>-10.805408264132828</v>
      </c>
      <c r="AY17" s="167">
        <v>-4.5097354417452227</v>
      </c>
      <c r="AZ17" s="167">
        <v>-1.3428385357481521E-5</v>
      </c>
      <c r="BA17" s="167"/>
      <c r="BB17" s="167"/>
      <c r="BC17" s="167"/>
      <c r="BD17" s="167"/>
      <c r="BE17" s="167">
        <v>-6.3524400135849071</v>
      </c>
      <c r="BF17" s="167">
        <v>-3.1762200067924535</v>
      </c>
      <c r="BG17" s="167">
        <v>-2.4135761779463194</v>
      </c>
      <c r="BH17" s="167">
        <v>1</v>
      </c>
      <c r="BI17" s="167">
        <v>-4.0459326045017008E-7</v>
      </c>
      <c r="BJ17" s="167">
        <v>2.8832299762264122</v>
      </c>
      <c r="BK17" s="167">
        <v>-3.0919737749934839E-5</v>
      </c>
      <c r="BL17" s="167">
        <v>-1.5881100033962268</v>
      </c>
      <c r="BM17" s="26"/>
      <c r="BN17" s="26"/>
    </row>
    <row r="18" spans="1:66">
      <c r="A18" s="26"/>
      <c r="B18" s="26"/>
      <c r="C18" s="26"/>
      <c r="D18" s="26"/>
      <c r="E18" s="26"/>
      <c r="F18" s="26"/>
      <c r="G18" s="26"/>
      <c r="H18" s="26"/>
      <c r="I18" s="26"/>
      <c r="J18" s="26"/>
      <c r="K18" s="26"/>
      <c r="L18" s="26"/>
      <c r="M18" s="2"/>
      <c r="N18" s="26"/>
      <c r="O18" s="167">
        <v>1.2</v>
      </c>
      <c r="P18" s="167">
        <v>1.999999358763042</v>
      </c>
      <c r="Q18" s="167">
        <v>6.7309285250583877E-15</v>
      </c>
      <c r="R18" s="167">
        <v>6.4123694423301407E-7</v>
      </c>
      <c r="S18" s="167">
        <v>0.99999935876304902</v>
      </c>
      <c r="T18" s="167"/>
      <c r="U18" s="167"/>
      <c r="V18" s="167"/>
      <c r="W18" s="167"/>
      <c r="X18" s="555">
        <v>0.18588206442381816</v>
      </c>
      <c r="Y18" s="555">
        <v>8.852646873856429</v>
      </c>
      <c r="Z18" s="167">
        <v>3.0944106420923969</v>
      </c>
      <c r="AA18" s="167">
        <v>1.9999497184874064</v>
      </c>
      <c r="AB18" s="167">
        <v>4.1388025120930351E-11</v>
      </c>
      <c r="AC18" s="167">
        <v>5.0281429817405146E-5</v>
      </c>
      <c r="AD18" s="167">
        <v>0.99994971852879455</v>
      </c>
      <c r="AE18" s="167"/>
      <c r="AF18" s="167"/>
      <c r="AG18" s="167"/>
      <c r="AH18" s="167"/>
      <c r="AI18" s="167">
        <v>0.22102933157802834</v>
      </c>
      <c r="AJ18" s="167">
        <v>0.44205866315605669</v>
      </c>
      <c r="AK18" s="167">
        <v>0.11051466578901417</v>
      </c>
      <c r="AL18" s="167">
        <v>2.3762161423730357E-3</v>
      </c>
      <c r="AM18" s="167">
        <v>1.2</v>
      </c>
      <c r="AN18" s="167">
        <v>-14.171833272261184</v>
      </c>
      <c r="AO18" s="167">
        <v>-6.1929413708586996</v>
      </c>
      <c r="AP18" s="167">
        <v>-2.7848395577815682E-7</v>
      </c>
      <c r="AQ18" s="167"/>
      <c r="AR18" s="167"/>
      <c r="AS18" s="167"/>
      <c r="AT18" s="167"/>
      <c r="AU18" s="167">
        <v>-0.73075778190260798</v>
      </c>
      <c r="AV18" s="167">
        <v>8.852646873856429</v>
      </c>
      <c r="AW18" s="167">
        <v>1.2</v>
      </c>
      <c r="AX18" s="167">
        <v>-10.383058075751038</v>
      </c>
      <c r="AY18" s="167">
        <v>-4.2985645520482114</v>
      </c>
      <c r="AZ18" s="167">
        <v>-2.1837373126464911E-5</v>
      </c>
      <c r="BA18" s="167"/>
      <c r="BB18" s="167"/>
      <c r="BC18" s="167"/>
      <c r="BD18" s="167"/>
      <c r="BE18" s="167">
        <v>-6.2317653473757737</v>
      </c>
      <c r="BF18" s="167">
        <v>-3.1158826736878869</v>
      </c>
      <c r="BG18" s="167">
        <v>-2.6240970696634012</v>
      </c>
      <c r="BH18" s="167">
        <v>1.2</v>
      </c>
      <c r="BI18" s="167">
        <v>-6.4123695797668745E-7</v>
      </c>
      <c r="BJ18" s="167">
        <v>3.0944106420923969</v>
      </c>
      <c r="BK18" s="167">
        <v>-5.0281512593564059E-5</v>
      </c>
      <c r="BL18" s="167">
        <v>-1.5579413368439434</v>
      </c>
      <c r="BM18" s="26"/>
      <c r="BN18" s="26"/>
    </row>
    <row r="19" spans="1:66">
      <c r="A19" s="26"/>
      <c r="B19" s="26"/>
      <c r="C19" s="26"/>
      <c r="D19" s="26"/>
      <c r="E19" s="26"/>
      <c r="F19" s="26"/>
      <c r="G19" s="26"/>
      <c r="H19" s="26"/>
      <c r="I19" s="26"/>
      <c r="J19" s="26"/>
      <c r="K19" s="26"/>
      <c r="L19" s="26"/>
      <c r="M19" s="2"/>
      <c r="N19" s="26"/>
      <c r="O19" s="167">
        <v>1.4</v>
      </c>
      <c r="P19" s="167">
        <v>1.9999989837082797</v>
      </c>
      <c r="Q19" s="167">
        <v>1.6907321692377158E-14</v>
      </c>
      <c r="R19" s="167">
        <v>1.0162916865040564E-6</v>
      </c>
      <c r="S19" s="167">
        <v>0.99999898370829665</v>
      </c>
      <c r="T19" s="167"/>
      <c r="U19" s="167"/>
      <c r="V19" s="167"/>
      <c r="W19" s="167"/>
      <c r="X19" s="555">
        <v>0.11728372418056521</v>
      </c>
      <c r="Y19" s="555">
        <v>9.2745251997257583</v>
      </c>
      <c r="Z19" s="167">
        <v>3.3052786795679925</v>
      </c>
      <c r="AA19" s="167">
        <v>1.9999182922654826</v>
      </c>
      <c r="AB19" s="167">
        <v>1.0929420360898843E-10</v>
      </c>
      <c r="AC19" s="167">
        <v>8.1707515929033676E-5</v>
      </c>
      <c r="AD19" s="167">
        <v>0.99991829237477692</v>
      </c>
      <c r="AE19" s="167"/>
      <c r="AF19" s="167"/>
      <c r="AG19" s="167"/>
      <c r="AH19" s="167"/>
      <c r="AI19" s="167">
        <v>0.23609133425485659</v>
      </c>
      <c r="AJ19" s="167">
        <v>0.47218266850971319</v>
      </c>
      <c r="AK19" s="167">
        <v>0.1180456671274283</v>
      </c>
      <c r="AL19" s="167">
        <v>1.4680816482827881E-3</v>
      </c>
      <c r="AM19" s="167">
        <v>1.4</v>
      </c>
      <c r="AN19" s="167">
        <v>-13.77183602473988</v>
      </c>
      <c r="AO19" s="167">
        <v>-5.9929428285396922</v>
      </c>
      <c r="AP19" s="167">
        <v>-4.4136724562375406E-7</v>
      </c>
      <c r="AQ19" s="167"/>
      <c r="AR19" s="167"/>
      <c r="AS19" s="167"/>
      <c r="AT19" s="167"/>
      <c r="AU19" s="167">
        <v>-0.93075622632623034</v>
      </c>
      <c r="AV19" s="167">
        <v>9.2745251997257583</v>
      </c>
      <c r="AW19" s="167">
        <v>1.4</v>
      </c>
      <c r="AX19" s="167">
        <v>-9.9613383801320339</v>
      </c>
      <c r="AY19" s="167">
        <v>-4.0877115287475503</v>
      </c>
      <c r="AZ19" s="167">
        <v>-3.5486390807319251E-5</v>
      </c>
      <c r="BA19" s="167"/>
      <c r="BB19" s="167"/>
      <c r="BC19" s="167"/>
      <c r="BD19" s="167"/>
      <c r="BE19" s="167">
        <v>-6.111269325961147</v>
      </c>
      <c r="BF19" s="167">
        <v>-3.0556346629805735</v>
      </c>
      <c r="BG19" s="167">
        <v>-2.8332314477613272</v>
      </c>
      <c r="BH19" s="167">
        <v>1.4</v>
      </c>
      <c r="BI19" s="167">
        <v>-1.0162917203349053E-6</v>
      </c>
      <c r="BJ19" s="167">
        <v>3.3052786795679925</v>
      </c>
      <c r="BK19" s="167">
        <v>-8.1707734517433295E-5</v>
      </c>
      <c r="BL19" s="167">
        <v>-1.5278173314902868</v>
      </c>
      <c r="BM19" s="26"/>
      <c r="BN19" s="26"/>
    </row>
    <row r="20" spans="1:66">
      <c r="A20" s="26"/>
      <c r="B20" s="26"/>
      <c r="C20" s="26"/>
      <c r="D20" s="26"/>
      <c r="E20" s="26"/>
      <c r="F20" s="26"/>
      <c r="G20" s="26"/>
      <c r="H20" s="26"/>
      <c r="I20" s="26"/>
      <c r="J20" s="26"/>
      <c r="K20" s="26"/>
      <c r="L20" s="26"/>
      <c r="M20" s="2"/>
      <c r="N20" s="26"/>
      <c r="O20" s="167">
        <v>1.5999999999999999</v>
      </c>
      <c r="P20" s="167">
        <v>1.9999983892870967</v>
      </c>
      <c r="Q20" s="167">
        <v>4.2469246707590332E-14</v>
      </c>
      <c r="R20" s="167">
        <v>1.6107128180517836E-6</v>
      </c>
      <c r="S20" s="167">
        <v>0.99999838928713936</v>
      </c>
      <c r="T20" s="167"/>
      <c r="U20" s="167"/>
      <c r="V20" s="167"/>
      <c r="W20" s="167"/>
      <c r="X20" s="555">
        <v>7.4001138776003686E-2</v>
      </c>
      <c r="Y20" s="555">
        <v>9.5472193221212365</v>
      </c>
      <c r="Z20" s="167">
        <v>3.5159445293883027</v>
      </c>
      <c r="AA20" s="167">
        <v>1.9998672887953242</v>
      </c>
      <c r="AB20" s="167">
        <v>2.8834118349147146E-10</v>
      </c>
      <c r="AC20" s="167">
        <v>1.3271062799322708E-4</v>
      </c>
      <c r="AD20" s="167">
        <v>0.99986728908366551</v>
      </c>
      <c r="AE20" s="167"/>
      <c r="AF20" s="167"/>
      <c r="AG20" s="167"/>
      <c r="AH20" s="167"/>
      <c r="AI20" s="167">
        <v>0.25113889495630731</v>
      </c>
      <c r="AJ20" s="167">
        <v>0.50227778991261463</v>
      </c>
      <c r="AK20" s="167">
        <v>0.12556944747815366</v>
      </c>
      <c r="AL20" s="167">
        <v>9.1331118878350986E-4</v>
      </c>
      <c r="AM20" s="167">
        <v>1.5999999999999999</v>
      </c>
      <c r="AN20" s="167">
        <v>-13.371838872487782</v>
      </c>
      <c r="AO20" s="167">
        <v>-5.7929443814898907</v>
      </c>
      <c r="AP20" s="167">
        <v>-6.9951974196298876E-7</v>
      </c>
      <c r="AQ20" s="167"/>
      <c r="AR20" s="167"/>
      <c r="AS20" s="167"/>
      <c r="AT20" s="167"/>
      <c r="AU20" s="167">
        <v>-1.1307542764837402</v>
      </c>
      <c r="AV20" s="167">
        <v>9.5472193221212365</v>
      </c>
      <c r="AW20" s="167">
        <v>1.5999999999999999</v>
      </c>
      <c r="AX20" s="167">
        <v>-9.5400315608674617</v>
      </c>
      <c r="AY20" s="167">
        <v>-3.8770691954549958</v>
      </c>
      <c r="AZ20" s="167">
        <v>-5.7639070271576998E-5</v>
      </c>
      <c r="BA20" s="167"/>
      <c r="BB20" s="167"/>
      <c r="BC20" s="167"/>
      <c r="BD20" s="167"/>
      <c r="BE20" s="167">
        <v>-5.9908888403495411</v>
      </c>
      <c r="BF20" s="167">
        <v>-2.9954444201747705</v>
      </c>
      <c r="BG20" s="167">
        <v>-3.0393615449499154</v>
      </c>
      <c r="BH20" s="167">
        <v>1.5999999999999999</v>
      </c>
      <c r="BI20" s="167">
        <v>-1.6107129032771894E-6</v>
      </c>
      <c r="BJ20" s="167">
        <v>3.5159445293883027</v>
      </c>
      <c r="BK20" s="167">
        <v>-1.3271120467583941E-4</v>
      </c>
      <c r="BL20" s="167">
        <v>-1.4977222100873853</v>
      </c>
      <c r="BM20" s="26"/>
      <c r="BN20" s="26"/>
    </row>
    <row r="21" spans="1:66">
      <c r="A21" s="26"/>
      <c r="B21" s="26"/>
      <c r="C21" s="26"/>
      <c r="D21" s="26"/>
      <c r="E21" s="26"/>
      <c r="F21" s="26"/>
      <c r="G21" s="26"/>
      <c r="H21" s="26"/>
      <c r="I21" s="26"/>
      <c r="J21" s="26"/>
      <c r="K21" s="26"/>
      <c r="L21" s="26"/>
      <c r="M21" s="2"/>
      <c r="N21" s="26"/>
      <c r="O21" s="167">
        <v>1.7999999999999998</v>
      </c>
      <c r="P21" s="167">
        <v>1.9999974471944113</v>
      </c>
      <c r="Q21" s="167">
        <v>1.0667782406058155E-13</v>
      </c>
      <c r="R21" s="167">
        <v>2.5528053753548798E-6</v>
      </c>
      <c r="S21" s="167">
        <v>0.999997447194518</v>
      </c>
      <c r="T21" s="167"/>
      <c r="U21" s="167"/>
      <c r="V21" s="167"/>
      <c r="W21" s="167"/>
      <c r="X21" s="555">
        <v>4.6691738910109637E-2</v>
      </c>
      <c r="Y21" s="555">
        <v>9.7213898246991448</v>
      </c>
      <c r="Z21" s="167">
        <v>3.7264837975794283</v>
      </c>
      <c r="AA21" s="167">
        <v>1.999784517461197</v>
      </c>
      <c r="AB21" s="167">
        <v>7.602374505779797E-10</v>
      </c>
      <c r="AC21" s="167">
        <v>2.1548101832837788E-4</v>
      </c>
      <c r="AD21" s="167">
        <v>0.99978451822143422</v>
      </c>
      <c r="AE21" s="167"/>
      <c r="AF21" s="167"/>
      <c r="AG21" s="167"/>
      <c r="AH21" s="167"/>
      <c r="AI21" s="167">
        <v>0.26617741411281631</v>
      </c>
      <c r="AJ21" s="167">
        <v>0.53235482822563263</v>
      </c>
      <c r="AK21" s="167">
        <v>0.13308870705640816</v>
      </c>
      <c r="AL21" s="167">
        <v>5.7783963759991126E-4</v>
      </c>
      <c r="AM21" s="167">
        <v>1.7999999999999998</v>
      </c>
      <c r="AN21" s="167">
        <v>-12.971841871227015</v>
      </c>
      <c r="AO21" s="167">
        <v>-5.5929460854314241</v>
      </c>
      <c r="AP21" s="167">
        <v>-1.1086635717957476E-6</v>
      </c>
      <c r="AQ21" s="167"/>
      <c r="AR21" s="167"/>
      <c r="AS21" s="167"/>
      <c r="AT21" s="167"/>
      <c r="AU21" s="167">
        <v>-1.3307513362960126</v>
      </c>
      <c r="AV21" s="167">
        <v>9.7213898246991448</v>
      </c>
      <c r="AW21" s="167">
        <v>1.7999999999999998</v>
      </c>
      <c r="AX21" s="167">
        <v>-9.1189917034981267</v>
      </c>
      <c r="AY21" s="167">
        <v>-3.6665672432479832</v>
      </c>
      <c r="AZ21" s="167">
        <v>-9.3592025579728393E-5</v>
      </c>
      <c r="BA21" s="167"/>
      <c r="BB21" s="167"/>
      <c r="BC21" s="167"/>
      <c r="BD21" s="167"/>
      <c r="BE21" s="167">
        <v>-5.8705806870974691</v>
      </c>
      <c r="BF21" s="167">
        <v>-2.9352903435487345</v>
      </c>
      <c r="BG21" s="167">
        <v>-3.2381717064992883</v>
      </c>
      <c r="BH21" s="167">
        <v>1.7999999999999998</v>
      </c>
      <c r="BI21" s="167">
        <v>-2.5528055886958612E-6</v>
      </c>
      <c r="BJ21" s="167">
        <v>3.7264837975794283</v>
      </c>
      <c r="BK21" s="167">
        <v>-2.1548253880299129E-4</v>
      </c>
      <c r="BL21" s="167">
        <v>-1.4676451717743673</v>
      </c>
      <c r="BM21" s="26"/>
      <c r="BN21" s="26"/>
    </row>
    <row r="22" spans="1:66">
      <c r="A22" s="26"/>
      <c r="B22" s="26"/>
      <c r="C22" s="26"/>
      <c r="D22" s="26"/>
      <c r="E22" s="26"/>
      <c r="F22" s="26"/>
      <c r="G22" s="26"/>
      <c r="H22" s="26"/>
      <c r="I22" s="26"/>
      <c r="J22" s="26"/>
      <c r="K22" s="26"/>
      <c r="L22" s="26"/>
      <c r="M22" s="2"/>
      <c r="N22" s="26"/>
      <c r="O22" s="167">
        <v>1.9999999999999998</v>
      </c>
      <c r="P22" s="167">
        <v>1.9999959540816439</v>
      </c>
      <c r="Q22" s="167">
        <v>2.6796217870141513E-13</v>
      </c>
      <c r="R22" s="167">
        <v>4.0459178200427442E-6</v>
      </c>
      <c r="S22" s="167">
        <v>0.999995954081912</v>
      </c>
      <c r="T22" s="167"/>
      <c r="U22" s="167"/>
      <c r="V22" s="167"/>
      <c r="W22" s="167"/>
      <c r="X22" s="555">
        <v>2.9460775957678546E-2</v>
      </c>
      <c r="Y22" s="555">
        <v>9.8327682426315732</v>
      </c>
      <c r="Z22" s="167">
        <v>3.9369472311575628</v>
      </c>
      <c r="AA22" s="167">
        <v>1.9996502005847956</v>
      </c>
      <c r="AB22" s="167">
        <v>2.0036311640727687E-9</v>
      </c>
      <c r="AC22" s="167">
        <v>3.4979540794230436E-4</v>
      </c>
      <c r="AD22" s="167">
        <v>0.99965020258842652</v>
      </c>
      <c r="AE22" s="167"/>
      <c r="AF22" s="167"/>
      <c r="AG22" s="167"/>
      <c r="AH22" s="167"/>
      <c r="AI22" s="167">
        <v>0.2812105165112545</v>
      </c>
      <c r="AJ22" s="167">
        <v>0.56242103302250901</v>
      </c>
      <c r="AK22" s="167">
        <v>0.14060525825562725</v>
      </c>
      <c r="AL22" s="167">
        <v>3.8089467588683153E-4</v>
      </c>
      <c r="AM22" s="167">
        <v>1.9999999999999998</v>
      </c>
      <c r="AN22" s="167">
        <v>-12.57184510927093</v>
      </c>
      <c r="AO22" s="167">
        <v>-5.3929480286776341</v>
      </c>
      <c r="AP22" s="167">
        <v>-1.7571120788461959E-6</v>
      </c>
      <c r="AQ22" s="167"/>
      <c r="AR22" s="167"/>
      <c r="AS22" s="167"/>
      <c r="AT22" s="167"/>
      <c r="AU22" s="167">
        <v>-1.5307459085077804</v>
      </c>
      <c r="AV22" s="167">
        <v>9.8327682426315732</v>
      </c>
      <c r="AW22" s="167">
        <v>1.9999999999999998</v>
      </c>
      <c r="AX22" s="167">
        <v>-8.6981259100698942</v>
      </c>
      <c r="AY22" s="167">
        <v>-3.4561635208600321</v>
      </c>
      <c r="AZ22" s="167">
        <v>-1.5194067791134467E-4</v>
      </c>
      <c r="BA22" s="167"/>
      <c r="BB22" s="167"/>
      <c r="BC22" s="167"/>
      <c r="BD22" s="167"/>
      <c r="BE22" s="167">
        <v>-5.750315867909964</v>
      </c>
      <c r="BF22" s="167">
        <v>-2.875157933954982</v>
      </c>
      <c r="BG22" s="167">
        <v>-3.4191729619979192</v>
      </c>
      <c r="BH22" s="167">
        <v>1.9999999999999998</v>
      </c>
      <c r="BI22" s="167">
        <v>-4.0459183561214473E-6</v>
      </c>
      <c r="BJ22" s="167">
        <v>3.9369472311575628</v>
      </c>
      <c r="BK22" s="167">
        <v>-3.4979941520441038E-4</v>
      </c>
      <c r="BL22" s="167">
        <v>-1.437578966977491</v>
      </c>
      <c r="BM22" s="26"/>
      <c r="BN22" s="26"/>
    </row>
    <row r="23" spans="1:66">
      <c r="A23" s="26"/>
      <c r="B23" s="26"/>
      <c r="C23" s="26"/>
      <c r="D23" s="26"/>
      <c r="E23" s="26"/>
      <c r="F23" s="26"/>
      <c r="G23" s="26"/>
      <c r="H23" s="26"/>
      <c r="I23" s="26"/>
      <c r="J23" s="26"/>
      <c r="K23" s="26"/>
      <c r="L23" s="26"/>
      <c r="M23" s="2"/>
      <c r="N23" s="26"/>
      <c r="O23" s="167">
        <v>2.1999999999999997</v>
      </c>
      <c r="P23" s="167">
        <v>1.9999935876662178</v>
      </c>
      <c r="Q23" s="167">
        <v>6.7308896801977221E-13</v>
      </c>
      <c r="R23" s="167">
        <v>6.4123324359057556E-6</v>
      </c>
      <c r="S23" s="167">
        <v>0.99999358766689095</v>
      </c>
      <c r="T23" s="167"/>
      <c r="U23" s="167"/>
      <c r="V23" s="167"/>
      <c r="W23" s="167"/>
      <c r="X23" s="555">
        <v>1.8588937311889202E-2</v>
      </c>
      <c r="Y23" s="555">
        <v>9.9056407503667288</v>
      </c>
      <c r="Z23" s="167">
        <v>4.1473695514894615</v>
      </c>
      <c r="AA23" s="167">
        <v>1.9994322595883574</v>
      </c>
      <c r="AB23" s="167">
        <v>5.279195267944708E-9</v>
      </c>
      <c r="AC23" s="167">
        <v>5.6772985325229748E-4</v>
      </c>
      <c r="AD23" s="167">
        <v>0.99943226486755243</v>
      </c>
      <c r="AE23" s="167"/>
      <c r="AF23" s="167"/>
      <c r="AG23" s="167"/>
      <c r="AH23" s="167"/>
      <c r="AI23" s="167">
        <v>0.29624068224924727</v>
      </c>
      <c r="AJ23" s="167">
        <v>0.59248136449849453</v>
      </c>
      <c r="AK23" s="167">
        <v>0.14812034112462363</v>
      </c>
      <c r="AL23" s="167">
        <v>2.7515856410965955E-4</v>
      </c>
      <c r="AM23" s="167">
        <v>2.1999999999999997</v>
      </c>
      <c r="AN23" s="167">
        <v>-12.171848726586042</v>
      </c>
      <c r="AO23" s="167">
        <v>-5.1929503511950434</v>
      </c>
      <c r="AP23" s="167">
        <v>-2.7848317850027694E-6</v>
      </c>
      <c r="AQ23" s="167"/>
      <c r="AR23" s="167"/>
      <c r="AS23" s="167"/>
      <c r="AT23" s="167"/>
      <c r="AU23" s="167">
        <v>-1.73073423233985</v>
      </c>
      <c r="AV23" s="167">
        <v>9.9056407503667288</v>
      </c>
      <c r="AW23" s="167">
        <v>2.1999999999999997</v>
      </c>
      <c r="AX23" s="167">
        <v>-8.2773786859281433</v>
      </c>
      <c r="AY23" s="167">
        <v>-3.2458372547784959</v>
      </c>
      <c r="AZ23" s="167">
        <v>-2.4663265658904002E-4</v>
      </c>
      <c r="BA23" s="167"/>
      <c r="BB23" s="167"/>
      <c r="BC23" s="167"/>
      <c r="BD23" s="167"/>
      <c r="BE23" s="167">
        <v>-5.6300745420060219</v>
      </c>
      <c r="BF23" s="167">
        <v>-2.8150372710030109</v>
      </c>
      <c r="BG23" s="167">
        <v>-3.5603939154448652</v>
      </c>
      <c r="BH23" s="167">
        <v>2.1999999999999997</v>
      </c>
      <c r="BI23" s="167">
        <v>-6.4123337821797577E-6</v>
      </c>
      <c r="BJ23" s="167">
        <v>4.1473695514894615</v>
      </c>
      <c r="BK23" s="167">
        <v>-5.6774041164264766E-4</v>
      </c>
      <c r="BL23" s="167">
        <v>-1.4075186355015055</v>
      </c>
      <c r="BM23" s="26"/>
      <c r="BN23" s="26"/>
    </row>
    <row r="24" spans="1:66">
      <c r="A24" s="26"/>
      <c r="B24" s="26"/>
      <c r="C24" s="26"/>
      <c r="D24" s="26"/>
      <c r="E24" s="26"/>
      <c r="F24" s="26"/>
      <c r="G24" s="26"/>
      <c r="H24" s="26"/>
      <c r="I24" s="26"/>
      <c r="J24" s="26"/>
      <c r="K24" s="26"/>
      <c r="L24" s="26"/>
      <c r="M24" s="2"/>
      <c r="N24" s="26"/>
      <c r="O24" s="167">
        <v>2.4</v>
      </c>
      <c r="P24" s="167">
        <v>1.9999898371727087</v>
      </c>
      <c r="Q24" s="167">
        <v>1.6907167048829027E-12</v>
      </c>
      <c r="R24" s="167">
        <v>1.0162823909482496E-5</v>
      </c>
      <c r="S24" s="167">
        <v>0.99998983717439971</v>
      </c>
      <c r="T24" s="167"/>
      <c r="U24" s="167"/>
      <c r="V24" s="167"/>
      <c r="W24" s="167"/>
      <c r="X24" s="555">
        <v>1.1729530759682654E-2</v>
      </c>
      <c r="Y24" s="555">
        <v>9.956512633652892</v>
      </c>
      <c r="Z24" s="167">
        <v>4.3577764259656462</v>
      </c>
      <c r="AA24" s="167">
        <v>1.9990786851927917</v>
      </c>
      <c r="AB24" s="167">
        <v>1.3906819214244426E-8</v>
      </c>
      <c r="AC24" s="167">
        <v>9.212869935698772E-4</v>
      </c>
      <c r="AD24" s="167">
        <v>0.999078699099611</v>
      </c>
      <c r="AE24" s="167"/>
      <c r="AF24" s="167"/>
      <c r="AG24" s="167"/>
      <c r="AH24" s="167"/>
      <c r="AI24" s="167">
        <v>0.31126974471183189</v>
      </c>
      <c r="AJ24" s="167">
        <v>0.62253948942366377</v>
      </c>
      <c r="AK24" s="167">
        <v>0.15563487235591594</v>
      </c>
      <c r="AL24" s="167">
        <v>2.3523615614638407E-4</v>
      </c>
      <c r="AM24" s="167">
        <v>2.4</v>
      </c>
      <c r="AN24" s="167">
        <v>-11.771852945002594</v>
      </c>
      <c r="AO24" s="167">
        <v>-4.9929532748138934</v>
      </c>
      <c r="AP24" s="167">
        <v>-4.4136529324036126E-6</v>
      </c>
      <c r="AQ24" s="167"/>
      <c r="AR24" s="167"/>
      <c r="AS24" s="167"/>
      <c r="AT24" s="167"/>
      <c r="AU24" s="167">
        <v>-1.9307068620489993</v>
      </c>
      <c r="AV24" s="167">
        <v>9.956512633652892</v>
      </c>
      <c r="AW24" s="167">
        <v>2.4</v>
      </c>
      <c r="AX24" s="167">
        <v>-7.8567213263950872</v>
      </c>
      <c r="AY24" s="167">
        <v>-3.0355854075499349</v>
      </c>
      <c r="AZ24" s="167">
        <v>-4.00297732523704E-4</v>
      </c>
      <c r="BA24" s="167"/>
      <c r="BB24" s="167"/>
      <c r="BC24" s="167"/>
      <c r="BD24" s="167"/>
      <c r="BE24" s="167">
        <v>-5.5098420423053449</v>
      </c>
      <c r="BF24" s="167">
        <v>-2.7549210211526725</v>
      </c>
      <c r="BG24" s="167">
        <v>-3.6284724349179709</v>
      </c>
      <c r="BH24" s="167">
        <v>2.4</v>
      </c>
      <c r="BI24" s="167">
        <v>-1.016282729127127E-5</v>
      </c>
      <c r="BJ24" s="167">
        <v>4.3577764259656462</v>
      </c>
      <c r="BK24" s="167">
        <v>-9.213148072082511E-4</v>
      </c>
      <c r="BL24" s="167">
        <v>-1.3774605105763362</v>
      </c>
      <c r="BM24" s="26"/>
      <c r="BN24" s="26"/>
    </row>
    <row r="25" spans="1:66">
      <c r="A25" s="26"/>
      <c r="B25" s="26"/>
      <c r="C25" s="26"/>
      <c r="D25" s="26"/>
      <c r="E25" s="26"/>
      <c r="F25" s="26"/>
      <c r="G25" s="26"/>
      <c r="H25" s="26"/>
      <c r="I25" s="26"/>
      <c r="J25" s="26"/>
      <c r="K25" s="26"/>
      <c r="L25" s="26"/>
      <c r="M25" s="2"/>
      <c r="N25" s="26"/>
      <c r="O25" s="167">
        <v>2.6</v>
      </c>
      <c r="P25" s="167">
        <v>1.9999838930968181</v>
      </c>
      <c r="Q25" s="167">
        <v>4.2468631064496025E-12</v>
      </c>
      <c r="R25" s="167">
        <v>1.6106894688214521E-5</v>
      </c>
      <c r="S25" s="167">
        <v>0.99998389310106495</v>
      </c>
      <c r="T25" s="167"/>
      <c r="U25" s="167"/>
      <c r="V25" s="167"/>
      <c r="W25" s="167"/>
      <c r="X25" s="555">
        <v>7.4019497040559426E-3</v>
      </c>
      <c r="Y25" s="555">
        <v>9.9971799951163121</v>
      </c>
      <c r="Z25" s="167">
        <v>4.568190022913047</v>
      </c>
      <c r="AA25" s="167">
        <v>1.9985052090084943</v>
      </c>
      <c r="AB25" s="167">
        <v>3.662736311301109E-8</v>
      </c>
      <c r="AC25" s="167">
        <v>1.4947177367794482E-3</v>
      </c>
      <c r="AD25" s="167">
        <v>0.99850524563585752</v>
      </c>
      <c r="AE25" s="167"/>
      <c r="AF25" s="167"/>
      <c r="AG25" s="167"/>
      <c r="AH25" s="167"/>
      <c r="AI25" s="167">
        <v>0.32629928735093194</v>
      </c>
      <c r="AJ25" s="167">
        <v>0.65259857470186389</v>
      </c>
      <c r="AK25" s="167">
        <v>0.16314964367546597</v>
      </c>
      <c r="AL25" s="167">
        <v>2.5147217689568005E-4</v>
      </c>
      <c r="AM25" s="167">
        <v>2.6</v>
      </c>
      <c r="AN25" s="167">
        <v>-11.371858116093446</v>
      </c>
      <c r="AO25" s="167">
        <v>-4.7929571511070401</v>
      </c>
      <c r="AP25" s="167">
        <v>-6.9951483768534648E-6</v>
      </c>
      <c r="AQ25" s="167"/>
      <c r="AR25" s="167"/>
      <c r="AS25" s="167"/>
      <c r="AT25" s="167"/>
      <c r="AU25" s="167">
        <v>-2.1306400764153532</v>
      </c>
      <c r="AV25" s="167">
        <v>9.9971799951163121</v>
      </c>
      <c r="AW25" s="167">
        <v>2.6</v>
      </c>
      <c r="AX25" s="167">
        <v>-7.4361462042185655</v>
      </c>
      <c r="AY25" s="167">
        <v>-2.825422520105604</v>
      </c>
      <c r="AZ25" s="167">
        <v>-6.496450203835215E-4</v>
      </c>
      <c r="BA25" s="167"/>
      <c r="BB25" s="167"/>
      <c r="BC25" s="167"/>
      <c r="BD25" s="167"/>
      <c r="BE25" s="167">
        <v>-5.3896057011925445</v>
      </c>
      <c r="BF25" s="167">
        <v>-2.6948028505962722</v>
      </c>
      <c r="BG25" s="167">
        <v>-3.5994867554893109</v>
      </c>
      <c r="BH25" s="167">
        <v>2.6</v>
      </c>
      <c r="BI25" s="167">
        <v>-1.6106903181878351E-5</v>
      </c>
      <c r="BJ25" s="167">
        <v>4.568190022913047</v>
      </c>
      <c r="BK25" s="167">
        <v>-1.4947909915057345E-3</v>
      </c>
      <c r="BL25" s="167">
        <v>-1.3474014252981361</v>
      </c>
      <c r="BM25" s="26"/>
      <c r="BN25" s="26"/>
    </row>
    <row r="26" spans="1:66">
      <c r="A26" s="26"/>
      <c r="B26" s="26"/>
      <c r="C26" s="26"/>
      <c r="D26" s="26"/>
      <c r="E26" s="26"/>
      <c r="F26" s="26"/>
      <c r="G26" s="26"/>
      <c r="H26" s="26"/>
      <c r="I26" s="26"/>
      <c r="J26" s="26"/>
      <c r="K26" s="26"/>
      <c r="L26" s="26"/>
      <c r="M26" s="2"/>
      <c r="N26" s="26"/>
      <c r="O26" s="167">
        <v>2.8000000000000003</v>
      </c>
      <c r="P26" s="167">
        <v>1.9999744725114117</v>
      </c>
      <c r="Q26" s="167">
        <v>1.0667537316626082E-11</v>
      </c>
      <c r="R26" s="167">
        <v>2.5527467253378609E-5</v>
      </c>
      <c r="S26" s="167">
        <v>0.99997447252207916</v>
      </c>
      <c r="T26" s="167"/>
      <c r="U26" s="167"/>
      <c r="V26" s="167"/>
      <c r="W26" s="167"/>
      <c r="X26" s="555">
        <v>4.6720834263553881E-3</v>
      </c>
      <c r="Y26" s="555">
        <v>10.037190483126324</v>
      </c>
      <c r="Z26" s="167">
        <v>4.7786339196049799</v>
      </c>
      <c r="AA26" s="167">
        <v>1.9975754392119551</v>
      </c>
      <c r="AB26" s="167">
        <v>9.6447036246999137E-8</v>
      </c>
      <c r="AC26" s="167">
        <v>2.4243678939722436E-3</v>
      </c>
      <c r="AD26" s="167">
        <v>0.99757553565899149</v>
      </c>
      <c r="AE26" s="167"/>
      <c r="AF26" s="167"/>
      <c r="AG26" s="167"/>
      <c r="AH26" s="167"/>
      <c r="AI26" s="167">
        <v>0.34133099425749858</v>
      </c>
      <c r="AJ26" s="167">
        <v>0.68266198851499715</v>
      </c>
      <c r="AK26" s="167">
        <v>0.17066549712874929</v>
      </c>
      <c r="AL26" s="167">
        <v>3.2753285969691127E-4</v>
      </c>
      <c r="AM26" s="167">
        <v>2.8000000000000003</v>
      </c>
      <c r="AN26" s="167">
        <v>-10.971864797053003</v>
      </c>
      <c r="AO26" s="167">
        <v>-4.5929625372688969</v>
      </c>
      <c r="AP26" s="167">
        <v>-1.108651253037819E-5</v>
      </c>
      <c r="AQ26" s="167"/>
      <c r="AR26" s="167"/>
      <c r="AS26" s="167"/>
      <c r="AT26" s="167"/>
      <c r="AU26" s="167">
        <v>-2.3304743233506064</v>
      </c>
      <c r="AV26" s="167">
        <v>10.037190483126324</v>
      </c>
      <c r="AW26" s="167">
        <v>2.8000000000000003</v>
      </c>
      <c r="AX26" s="167">
        <v>-7.0156656937612158</v>
      </c>
      <c r="AY26" s="167">
        <v>-2.6153845439288168</v>
      </c>
      <c r="AZ26" s="167">
        <v>-1.0542031241593888E-3</v>
      </c>
      <c r="BA26" s="167"/>
      <c r="BB26" s="167"/>
      <c r="BC26" s="167"/>
      <c r="BD26" s="167"/>
      <c r="BE26" s="167">
        <v>-5.2693520459400114</v>
      </c>
      <c r="BF26" s="167">
        <v>-2.6346760229700057</v>
      </c>
      <c r="BG26" s="167">
        <v>-3.4847225627420229</v>
      </c>
      <c r="BH26" s="167">
        <v>2.8000000000000003</v>
      </c>
      <c r="BI26" s="167">
        <v>-2.5527488588306113E-5</v>
      </c>
      <c r="BJ26" s="167">
        <v>4.7786339196049799</v>
      </c>
      <c r="BK26" s="167">
        <v>-2.4245607880448716E-3</v>
      </c>
      <c r="BL26" s="167">
        <v>-1.3173380114850028</v>
      </c>
      <c r="BM26" s="26"/>
      <c r="BN26" s="26"/>
    </row>
    <row r="27" spans="1:66">
      <c r="A27" s="26"/>
      <c r="B27" s="26"/>
      <c r="C27" s="26"/>
      <c r="D27" s="26"/>
      <c r="E27" s="26"/>
      <c r="F27" s="26"/>
      <c r="G27" s="26"/>
      <c r="H27" s="26"/>
      <c r="I27" s="26"/>
      <c r="J27" s="26"/>
      <c r="K27" s="26"/>
      <c r="L27" s="26"/>
      <c r="M27" s="2"/>
      <c r="N27" s="26"/>
      <c r="O27" s="167">
        <v>3.0000000000000004</v>
      </c>
      <c r="P27" s="167">
        <v>1.9999595422414072</v>
      </c>
      <c r="Q27" s="167">
        <v>2.6795242167300782E-11</v>
      </c>
      <c r="R27" s="167">
        <v>4.0457705002407584E-5</v>
      </c>
      <c r="S27" s="167">
        <v>0.99995954226820238</v>
      </c>
      <c r="T27" s="167"/>
      <c r="U27" s="167"/>
      <c r="V27" s="167"/>
      <c r="W27" s="167"/>
      <c r="X27" s="555">
        <v>2.9506887641283903E-3</v>
      </c>
      <c r="Y27" s="555">
        <v>10.085949620406609</v>
      </c>
      <c r="Z27" s="167">
        <v>4.989138153184598</v>
      </c>
      <c r="AA27" s="167">
        <v>1.9960690039600504</v>
      </c>
      <c r="AB27" s="167">
        <v>2.5388737198218256E-7</v>
      </c>
      <c r="AC27" s="167">
        <v>3.9304882652053813E-3</v>
      </c>
      <c r="AD27" s="167">
        <v>0.99606925784742262</v>
      </c>
      <c r="AE27" s="167"/>
      <c r="AF27" s="167"/>
      <c r="AG27" s="167"/>
      <c r="AH27" s="167"/>
      <c r="AI27" s="167">
        <v>0.35636701094175699</v>
      </c>
      <c r="AJ27" s="167">
        <v>0.71273402188351398</v>
      </c>
      <c r="AK27" s="167">
        <v>0.17818350547087849</v>
      </c>
      <c r="AL27" s="167">
        <v>4.8106426795505096E-4</v>
      </c>
      <c r="AM27" s="167">
        <v>3.0000000000000004</v>
      </c>
      <c r="AN27" s="167">
        <v>-10.571873870947238</v>
      </c>
      <c r="AO27" s="167">
        <v>-4.3929703163654281</v>
      </c>
      <c r="AP27" s="167">
        <v>-1.757081135834367E-5</v>
      </c>
      <c r="AQ27" s="167"/>
      <c r="AR27" s="167"/>
      <c r="AS27" s="167"/>
      <c r="AT27" s="167"/>
      <c r="AU27" s="167">
        <v>-2.5300602173703282</v>
      </c>
      <c r="AV27" s="167">
        <v>10.085949620406609</v>
      </c>
      <c r="AW27" s="167">
        <v>3.0000000000000004</v>
      </c>
      <c r="AX27" s="167">
        <v>-6.5953162015371403</v>
      </c>
      <c r="AY27" s="167">
        <v>-2.4055379224823699</v>
      </c>
      <c r="AZ27" s="167">
        <v>-1.7104524553398887E-3</v>
      </c>
      <c r="BA27" s="167"/>
      <c r="BB27" s="167"/>
      <c r="BC27" s="167"/>
      <c r="BD27" s="167"/>
      <c r="BE27" s="167">
        <v>-5.1490639124659445</v>
      </c>
      <c r="BF27" s="167">
        <v>-2.5745319562329723</v>
      </c>
      <c r="BG27" s="167">
        <v>-3.3177754206426644</v>
      </c>
      <c r="BH27" s="167">
        <v>3.0000000000000004</v>
      </c>
      <c r="BI27" s="167">
        <v>-4.0457758592848947E-5</v>
      </c>
      <c r="BJ27" s="167">
        <v>4.989138153184598</v>
      </c>
      <c r="BK27" s="167">
        <v>-3.9309960399496191E-3</v>
      </c>
      <c r="BL27" s="167">
        <v>-1.2872659781164861</v>
      </c>
      <c r="BM27" s="26"/>
      <c r="BN27" s="26"/>
    </row>
    <row r="28" spans="1:66">
      <c r="A28" s="26"/>
      <c r="B28" s="26"/>
      <c r="C28" s="26"/>
      <c r="D28" s="26"/>
      <c r="E28" s="26"/>
      <c r="F28" s="26"/>
      <c r="G28" s="26"/>
      <c r="H28" s="26"/>
      <c r="I28" s="26"/>
      <c r="J28" s="26"/>
      <c r="K28" s="26"/>
      <c r="L28" s="26"/>
      <c r="M28" s="2"/>
      <c r="N28" s="26"/>
      <c r="O28" s="167">
        <v>3.2000000000000006</v>
      </c>
      <c r="P28" s="167">
        <v>1.9999358802414422</v>
      </c>
      <c r="Q28" s="167">
        <v>6.7305012558456412E-11</v>
      </c>
      <c r="R28" s="167">
        <v>6.4119623947685254E-5</v>
      </c>
      <c r="S28" s="167">
        <v>0.99993588030874725</v>
      </c>
      <c r="T28" s="167"/>
      <c r="U28" s="167"/>
      <c r="V28" s="167"/>
      <c r="W28" s="167"/>
      <c r="X28" s="555">
        <v>1.8662016029543519E-3</v>
      </c>
      <c r="Y28" s="555">
        <v>10.154803957266267</v>
      </c>
      <c r="Z28" s="167">
        <v>5.1997450596983432</v>
      </c>
      <c r="AA28" s="167">
        <v>1.9936308665143001</v>
      </c>
      <c r="AB28" s="167">
        <v>6.680219653801566E-7</v>
      </c>
      <c r="AC28" s="167">
        <v>6.367797441769108E-3</v>
      </c>
      <c r="AD28" s="167">
        <v>0.9936315345362654</v>
      </c>
      <c r="AE28" s="167"/>
      <c r="AF28" s="167"/>
      <c r="AG28" s="167"/>
      <c r="AH28" s="167"/>
      <c r="AI28" s="167">
        <v>0.37141036140702449</v>
      </c>
      <c r="AJ28" s="167">
        <v>0.74282072281404898</v>
      </c>
      <c r="AK28" s="167">
        <v>0.18570518070351225</v>
      </c>
      <c r="AL28" s="167">
        <v>7.4736562201855976E-4</v>
      </c>
      <c r="AM28" s="167">
        <v>3.2000000000000006</v>
      </c>
      <c r="AN28" s="167">
        <v>-10.171886737271896</v>
      </c>
      <c r="AO28" s="167">
        <v>-4.1929818878923824</v>
      </c>
      <c r="AP28" s="167">
        <v>-2.7847540609758863E-5</v>
      </c>
      <c r="AQ28" s="167"/>
      <c r="AR28" s="167"/>
      <c r="AS28" s="167"/>
      <c r="AT28" s="167"/>
      <c r="AU28" s="167">
        <v>-2.7290237740920875</v>
      </c>
      <c r="AV28" s="167">
        <v>10.154803957266267</v>
      </c>
      <c r="AW28" s="167">
        <v>3.2000000000000006</v>
      </c>
      <c r="AX28" s="167">
        <v>-6.1751692789215467</v>
      </c>
      <c r="AY28" s="167">
        <v>-2.1959965429138273</v>
      </c>
      <c r="AZ28" s="167">
        <v>-2.7746159338485096E-3</v>
      </c>
      <c r="BA28" s="167"/>
      <c r="BB28" s="167"/>
      <c r="BC28" s="167"/>
      <c r="BD28" s="167"/>
      <c r="BE28" s="167">
        <v>-5.0287171087438036</v>
      </c>
      <c r="BF28" s="167">
        <v>-2.5143585543719018</v>
      </c>
      <c r="BG28" s="167">
        <v>-3.1264466423759272</v>
      </c>
      <c r="BH28" s="167">
        <v>3.2000000000000006</v>
      </c>
      <c r="BI28" s="167">
        <v>-6.4119758557801276E-5</v>
      </c>
      <c r="BJ28" s="167">
        <v>5.1997450596983432</v>
      </c>
      <c r="BK28" s="167">
        <v>-6.369133485699896E-3</v>
      </c>
      <c r="BL28" s="167">
        <v>-1.2571792771859509</v>
      </c>
      <c r="BM28" s="26"/>
      <c r="BN28" s="26"/>
    </row>
    <row r="29" spans="1:66">
      <c r="A29" s="26"/>
      <c r="B29" s="26"/>
      <c r="C29" s="26"/>
      <c r="D29" s="26"/>
      <c r="E29" s="26"/>
      <c r="F29" s="26"/>
      <c r="G29" s="26"/>
      <c r="H29" s="26"/>
      <c r="I29" s="26"/>
      <c r="J29" s="26"/>
      <c r="K29" s="26"/>
      <c r="L29" s="26"/>
      <c r="M29" s="2"/>
      <c r="N29" s="26"/>
      <c r="O29" s="167">
        <v>3.4000000000000008</v>
      </c>
      <c r="P29" s="167">
        <v>1.9998983807174289</v>
      </c>
      <c r="Q29" s="167">
        <v>1.6905620766377056E-10</v>
      </c>
      <c r="R29" s="167">
        <v>1.0161894445887047E-4</v>
      </c>
      <c r="S29" s="167">
        <v>0.99989838088648497</v>
      </c>
      <c r="T29" s="167"/>
      <c r="U29" s="167"/>
      <c r="V29" s="167"/>
      <c r="W29" s="167"/>
      <c r="X29" s="555">
        <v>1.1845344242984287E-3</v>
      </c>
      <c r="Y29" s="555">
        <v>10.259427917480934</v>
      </c>
      <c r="Z29" s="167">
        <v>5.4105160650546065</v>
      </c>
      <c r="AA29" s="167">
        <v>1.9896917811290393</v>
      </c>
      <c r="AB29" s="167">
        <v>1.7563380973178301E-6</v>
      </c>
      <c r="AC29" s="167">
        <v>1.0304706194765896E-2</v>
      </c>
      <c r="AD29" s="167">
        <v>0.98969353746713673</v>
      </c>
      <c r="AE29" s="167"/>
      <c r="AF29" s="167"/>
      <c r="AG29" s="167"/>
      <c r="AH29" s="167"/>
      <c r="AI29" s="167">
        <v>0.38646543321818616</v>
      </c>
      <c r="AJ29" s="167">
        <v>0.77293086643637232</v>
      </c>
      <c r="AK29" s="167">
        <v>0.19323271660909308</v>
      </c>
      <c r="AL29" s="167">
        <v>1.1864114243918542E-3</v>
      </c>
      <c r="AM29" s="167">
        <v>3.4000000000000008</v>
      </c>
      <c r="AN29" s="167">
        <v>-9.7719056139037281</v>
      </c>
      <c r="AO29" s="167">
        <v>-3.992999469726513</v>
      </c>
      <c r="AP29" s="167">
        <v>-4.4134577037678471E-5</v>
      </c>
      <c r="AQ29" s="167"/>
      <c r="AR29" s="167"/>
      <c r="AS29" s="167"/>
      <c r="AT29" s="167"/>
      <c r="AU29" s="167">
        <v>-2.9264333677079351</v>
      </c>
      <c r="AV29" s="167">
        <v>10.259427917480934</v>
      </c>
      <c r="AW29" s="167">
        <v>3.4000000000000008</v>
      </c>
      <c r="AX29" s="167">
        <v>-5.7553546178009993</v>
      </c>
      <c r="AY29" s="167">
        <v>-1.9869515226204757</v>
      </c>
      <c r="AZ29" s="167">
        <v>-4.4992364676921482E-3</v>
      </c>
      <c r="BA29" s="167"/>
      <c r="BB29" s="167"/>
      <c r="BC29" s="167"/>
      <c r="BD29" s="167"/>
      <c r="BE29" s="167">
        <v>-4.9082765342545107</v>
      </c>
      <c r="BF29" s="167">
        <v>-2.4541382671272554</v>
      </c>
      <c r="BG29" s="167">
        <v>-2.9257457386113459</v>
      </c>
      <c r="BH29" s="167">
        <v>3.4000000000000008</v>
      </c>
      <c r="BI29" s="167">
        <v>-1.016192825711304E-4</v>
      </c>
      <c r="BJ29" s="167">
        <v>5.4105160650546065</v>
      </c>
      <c r="BK29" s="167">
        <v>-1.0308218870960673E-2</v>
      </c>
      <c r="BL29" s="167">
        <v>-1.2270691335636277</v>
      </c>
      <c r="BM29" s="26"/>
      <c r="BN29" s="26"/>
    </row>
    <row r="30" spans="1:66">
      <c r="A30" s="26"/>
      <c r="B30" s="26"/>
      <c r="C30" s="26"/>
      <c r="D30" s="26"/>
      <c r="E30" s="26"/>
      <c r="F30" s="26"/>
      <c r="G30" s="26"/>
      <c r="H30" s="26"/>
      <c r="I30" s="26"/>
      <c r="J30" s="26"/>
      <c r="K30" s="26"/>
      <c r="L30" s="26"/>
      <c r="M30" s="2"/>
      <c r="N30" s="26"/>
      <c r="O30" s="167">
        <v>3.600000000000001</v>
      </c>
      <c r="P30" s="167">
        <v>1.9998389535494372</v>
      </c>
      <c r="Q30" s="167">
        <v>4.2462475599039225E-10</v>
      </c>
      <c r="R30" s="167">
        <v>1.6104560131357241E-4</v>
      </c>
      <c r="S30" s="167">
        <v>0.99983895397406164</v>
      </c>
      <c r="T30" s="167"/>
      <c r="U30" s="167"/>
      <c r="V30" s="167"/>
      <c r="W30" s="167"/>
      <c r="X30" s="555">
        <v>7.5854804105436461E-4</v>
      </c>
      <c r="Y30" s="555">
        <v>10.422738817578647</v>
      </c>
      <c r="Z30" s="167">
        <v>5.6215382068211683</v>
      </c>
      <c r="AA30" s="167">
        <v>1.9833464732650146</v>
      </c>
      <c r="AB30" s="167">
        <v>4.6116917643530014E-6</v>
      </c>
      <c r="AC30" s="167">
        <v>1.664430335145663E-2</v>
      </c>
      <c r="AD30" s="167">
        <v>0.98335108495677892</v>
      </c>
      <c r="AE30" s="167"/>
      <c r="AF30" s="167"/>
      <c r="AG30" s="167"/>
      <c r="AH30" s="167"/>
      <c r="AI30" s="167">
        <v>0.40153844334436917</v>
      </c>
      <c r="AJ30" s="167">
        <v>0.80307688668873833</v>
      </c>
      <c r="AK30" s="167">
        <v>0.20076922167218458</v>
      </c>
      <c r="AL30" s="167">
        <v>1.8935067325525716E-3</v>
      </c>
      <c r="AM30" s="167">
        <v>3.600000000000001</v>
      </c>
      <c r="AN30" s="167">
        <v>-9.3719340155021538</v>
      </c>
      <c r="AO30" s="167">
        <v>-3.7930265765272364</v>
      </c>
      <c r="AP30" s="167">
        <v>-6.9946580058217277E-5</v>
      </c>
      <c r="AQ30" s="167"/>
      <c r="AR30" s="167"/>
      <c r="AS30" s="167"/>
      <c r="AT30" s="167"/>
      <c r="AU30" s="167">
        <v>-3.1199967099195116</v>
      </c>
      <c r="AV30" s="167">
        <v>10.422738817578647</v>
      </c>
      <c r="AW30" s="167">
        <v>3.600000000000001</v>
      </c>
      <c r="AX30" s="167">
        <v>-5.3361051816174134</v>
      </c>
      <c r="AY30" s="167">
        <v>-1.7787228620485298</v>
      </c>
      <c r="AZ30" s="167">
        <v>-7.2913515073857304E-3</v>
      </c>
      <c r="BA30" s="167"/>
      <c r="BB30" s="167"/>
      <c r="BC30" s="167"/>
      <c r="BD30" s="167"/>
      <c r="BE30" s="167">
        <v>-4.7876924532450467</v>
      </c>
      <c r="BF30" s="167">
        <v>-2.3938462266225233</v>
      </c>
      <c r="BG30" s="167">
        <v>-2.7227155194198236</v>
      </c>
      <c r="BH30" s="167">
        <v>3.600000000000001</v>
      </c>
      <c r="BI30" s="167">
        <v>-1.6104645056280731E-4</v>
      </c>
      <c r="BJ30" s="167">
        <v>5.6215382068211683</v>
      </c>
      <c r="BK30" s="167">
        <v>-1.6653526734985435E-2</v>
      </c>
      <c r="BL30" s="167">
        <v>-1.1969231133112617</v>
      </c>
      <c r="BM30" s="26"/>
      <c r="BN30" s="26"/>
    </row>
    <row r="31" spans="1:66">
      <c r="A31" s="26"/>
      <c r="B31" s="26"/>
      <c r="C31" s="26"/>
      <c r="D31" s="26"/>
      <c r="E31" s="26"/>
      <c r="F31" s="26"/>
      <c r="G31" s="26"/>
      <c r="H31" s="26"/>
      <c r="I31" s="26"/>
      <c r="J31" s="26"/>
      <c r="K31" s="26"/>
      <c r="L31" s="26"/>
      <c r="M31" s="2"/>
      <c r="N31" s="26"/>
      <c r="O31" s="167">
        <v>3.8000000000000012</v>
      </c>
      <c r="P31" s="167">
        <v>1.9997447818298895</v>
      </c>
      <c r="Q31" s="167">
        <v>1.0665087031423333E-9</v>
      </c>
      <c r="R31" s="167">
        <v>2.5521603709299166E-4</v>
      </c>
      <c r="S31" s="167">
        <v>0.99974478289639823</v>
      </c>
      <c r="T31" s="167"/>
      <c r="U31" s="167"/>
      <c r="V31" s="167"/>
      <c r="W31" s="167"/>
      <c r="X31" s="555">
        <v>4.9629065157025633E-4</v>
      </c>
      <c r="Y31" s="555">
        <v>10.678157336951699</v>
      </c>
      <c r="Z31" s="167">
        <v>5.8329258111339772</v>
      </c>
      <c r="AA31" s="167">
        <v>1.9731754440794174</v>
      </c>
      <c r="AB31" s="167">
        <v>1.2081571073439038E-5</v>
      </c>
      <c r="AC31" s="167">
        <v>2.6800392778435756E-2</v>
      </c>
      <c r="AD31" s="167">
        <v>0.97318752565049071</v>
      </c>
      <c r="AE31" s="167"/>
      <c r="AF31" s="167"/>
      <c r="AG31" s="167"/>
      <c r="AH31" s="167"/>
      <c r="AI31" s="167">
        <v>0.41663755793814122</v>
      </c>
      <c r="AJ31" s="167">
        <v>0.83327511587628245</v>
      </c>
      <c r="AK31" s="167">
        <v>0.20831877896907061</v>
      </c>
      <c r="AL31" s="167">
        <v>3.0125988842020913E-3</v>
      </c>
      <c r="AM31" s="167">
        <v>3.8000000000000012</v>
      </c>
      <c r="AN31" s="167">
        <v>-8.9719775113260773</v>
      </c>
      <c r="AO31" s="167">
        <v>-3.5930687775534573</v>
      </c>
      <c r="AP31" s="167">
        <v>-1.1085280857685599E-4</v>
      </c>
      <c r="AQ31" s="167"/>
      <c r="AR31" s="167"/>
      <c r="AS31" s="167"/>
      <c r="AT31" s="167"/>
      <c r="AU31" s="167">
        <v>-3.304242513591594</v>
      </c>
      <c r="AV31" s="167">
        <v>10.678157336951699</v>
      </c>
      <c r="AW31" s="167">
        <v>3.8000000000000012</v>
      </c>
      <c r="AX31" s="167">
        <v>-4.9178447486171528</v>
      </c>
      <c r="AY31" s="167">
        <v>-1.5718486648401551</v>
      </c>
      <c r="AZ31" s="167">
        <v>-1.1803390090897682E-2</v>
      </c>
      <c r="BA31" s="167"/>
      <c r="BB31" s="167"/>
      <c r="BC31" s="167"/>
      <c r="BD31" s="167"/>
      <c r="BE31" s="167">
        <v>-4.6668995364948707</v>
      </c>
      <c r="BF31" s="167">
        <v>-2.3334497682474353</v>
      </c>
      <c r="BG31" s="167">
        <v>-2.5210423677897507</v>
      </c>
      <c r="BH31" s="167">
        <v>3.8000000000000012</v>
      </c>
      <c r="BI31" s="167">
        <v>-2.5521817011053827E-4</v>
      </c>
      <c r="BJ31" s="167">
        <v>5.8329258111339772</v>
      </c>
      <c r="BK31" s="167">
        <v>-2.6824555920582638E-2</v>
      </c>
      <c r="BL31" s="167">
        <v>-1.1667248841237177</v>
      </c>
      <c r="BM31" s="26"/>
      <c r="BN31" s="26"/>
    </row>
    <row r="32" spans="1:66">
      <c r="A32" s="26"/>
      <c r="B32" s="26"/>
      <c r="C32" s="26"/>
      <c r="D32" s="26"/>
      <c r="E32" s="26"/>
      <c r="F32" s="26"/>
      <c r="G32" s="26"/>
      <c r="H32" s="26"/>
      <c r="I32" s="26"/>
      <c r="J32" s="26"/>
      <c r="K32" s="26"/>
      <c r="L32" s="26"/>
      <c r="M32" s="2"/>
      <c r="N32" s="26"/>
      <c r="O32" s="167">
        <v>4.0000000000000009</v>
      </c>
      <c r="P32" s="167">
        <v>1.9995955648546604</v>
      </c>
      <c r="Q32" s="167">
        <v>2.678548898154214E-9</v>
      </c>
      <c r="R32" s="167">
        <v>4.0442978824163184E-4</v>
      </c>
      <c r="S32" s="167">
        <v>0.99959556753320944</v>
      </c>
      <c r="T32" s="167"/>
      <c r="U32" s="167"/>
      <c r="V32" s="167"/>
      <c r="W32" s="167"/>
      <c r="X32" s="555">
        <v>3.411478016310438E-4</v>
      </c>
      <c r="Y32" s="555">
        <v>11.071775054733735</v>
      </c>
      <c r="Z32" s="167">
        <v>6.0448065155412518</v>
      </c>
      <c r="AA32" s="167">
        <v>1.957007538132487</v>
      </c>
      <c r="AB32" s="167">
        <v>3.1522303909222231E-5</v>
      </c>
      <c r="AC32" s="167">
        <v>4.2929417259694451E-2</v>
      </c>
      <c r="AD32" s="167">
        <v>0.9570390604363963</v>
      </c>
      <c r="AE32" s="167"/>
      <c r="AF32" s="167"/>
      <c r="AG32" s="167"/>
      <c r="AH32" s="167"/>
      <c r="AI32" s="167">
        <v>0.43177189396723226</v>
      </c>
      <c r="AJ32" s="167">
        <v>0.86354378793446451</v>
      </c>
      <c r="AK32" s="167">
        <v>0.21588594698361613</v>
      </c>
      <c r="AL32" s="167">
        <v>4.7468698489603056E-3</v>
      </c>
      <c r="AM32" s="167">
        <v>4.0000000000000009</v>
      </c>
      <c r="AN32" s="167">
        <v>-8.5720449252916016</v>
      </c>
      <c r="AO32" s="167">
        <v>-3.3931348967212767</v>
      </c>
      <c r="AP32" s="167">
        <v>-1.7567717869267972E-4</v>
      </c>
      <c r="AQ32" s="167"/>
      <c r="AR32" s="167"/>
      <c r="AS32" s="167"/>
      <c r="AT32" s="167"/>
      <c r="AU32" s="167">
        <v>-3.4670349772947042</v>
      </c>
      <c r="AV32" s="167">
        <v>11.071775054733735</v>
      </c>
      <c r="AW32" s="167">
        <v>4.0000000000000009</v>
      </c>
      <c r="AX32" s="167">
        <v>-4.5013529063142128</v>
      </c>
      <c r="AY32" s="167">
        <v>-1.3672361552312422</v>
      </c>
      <c r="AZ32" s="167">
        <v>-1.9070213176012474E-2</v>
      </c>
      <c r="BA32" s="167"/>
      <c r="BB32" s="167"/>
      <c r="BC32" s="167"/>
      <c r="BD32" s="167"/>
      <c r="BE32" s="167">
        <v>-4.5458248482621419</v>
      </c>
      <c r="BF32" s="167">
        <v>-2.272912424131071</v>
      </c>
      <c r="BG32" s="167">
        <v>-2.3235776328168352</v>
      </c>
      <c r="BH32" s="167">
        <v>4.0000000000000009</v>
      </c>
      <c r="BI32" s="167">
        <v>-4.0443514533961E-4</v>
      </c>
      <c r="BJ32" s="167">
        <v>6.0448065155412518</v>
      </c>
      <c r="BK32" s="167">
        <v>-4.2992461867513043E-2</v>
      </c>
      <c r="BL32" s="167">
        <v>-1.1364562120655355</v>
      </c>
      <c r="BM32" s="26"/>
      <c r="BN32" s="26"/>
    </row>
    <row r="33" spans="1:66">
      <c r="A33" s="26"/>
      <c r="B33" s="26"/>
      <c r="C33" s="26"/>
      <c r="D33" s="26"/>
      <c r="E33" s="26"/>
      <c r="F33" s="26"/>
      <c r="G33" s="26"/>
      <c r="H33" s="26"/>
      <c r="I33" s="26"/>
      <c r="J33" s="26"/>
      <c r="K33" s="26"/>
      <c r="L33" s="26"/>
      <c r="M33" s="2"/>
      <c r="N33" s="26"/>
      <c r="O33" s="167">
        <v>4.2000000000000011</v>
      </c>
      <c r="P33" s="167">
        <v>1.9993591601175014</v>
      </c>
      <c r="Q33" s="167">
        <v>6.7266194362466465E-9</v>
      </c>
      <c r="R33" s="167">
        <v>6.4082642925996193E-4</v>
      </c>
      <c r="S33" s="167">
        <v>0.99935916684412063</v>
      </c>
      <c r="T33" s="167"/>
      <c r="U33" s="167"/>
      <c r="V33" s="167"/>
      <c r="W33" s="167"/>
      <c r="X33" s="555">
        <v>2.5961662419253767E-4</v>
      </c>
      <c r="Y33" s="555">
        <v>11.659035268530715</v>
      </c>
      <c r="Z33" s="167">
        <v>6.2572748607294768</v>
      </c>
      <c r="AA33" s="167">
        <v>1.9316668561095818</v>
      </c>
      <c r="AB33" s="167">
        <v>8.1643888526584344E-5</v>
      </c>
      <c r="AC33" s="167">
        <v>6.8169856113364943E-2</v>
      </c>
      <c r="AD33" s="167">
        <v>0.93174849999810849</v>
      </c>
      <c r="AE33" s="167"/>
      <c r="AF33" s="167"/>
      <c r="AG33" s="167"/>
      <c r="AH33" s="167"/>
      <c r="AI33" s="167">
        <v>0.44694820433781979</v>
      </c>
      <c r="AJ33" s="167">
        <v>0.89389640867563958</v>
      </c>
      <c r="AK33" s="167">
        <v>0.22347410216890989</v>
      </c>
      <c r="AL33" s="167">
        <v>7.3500868178320369E-3</v>
      </c>
      <c r="AM33" s="167">
        <v>4.2000000000000011</v>
      </c>
      <c r="AN33" s="167">
        <v>-8.1721502354227287</v>
      </c>
      <c r="AO33" s="167">
        <v>-3.1932389120547016</v>
      </c>
      <c r="AP33" s="167">
        <v>-2.7839771441476216E-4</v>
      </c>
      <c r="AQ33" s="167"/>
      <c r="AR33" s="167"/>
      <c r="AS33" s="167"/>
      <c r="AT33" s="167"/>
      <c r="AU33" s="167">
        <v>-3.5856442879627495</v>
      </c>
      <c r="AV33" s="167">
        <v>11.659035268530715</v>
      </c>
      <c r="AW33" s="167">
        <v>4.2000000000000011</v>
      </c>
      <c r="AX33" s="167">
        <v>-4.0880498527720688</v>
      </c>
      <c r="AY33" s="167">
        <v>-1.1664000713596978</v>
      </c>
      <c r="AZ33" s="167">
        <v>-3.0701098975066614E-2</v>
      </c>
      <c r="BA33" s="167"/>
      <c r="BB33" s="167"/>
      <c r="BC33" s="167"/>
      <c r="BD33" s="167"/>
      <c r="BE33" s="167">
        <v>-4.4244143652974417</v>
      </c>
      <c r="BF33" s="167">
        <v>-2.2122071826487208</v>
      </c>
      <c r="BG33" s="167">
        <v>-2.1336937174833732</v>
      </c>
      <c r="BH33" s="167">
        <v>4.2000000000000011</v>
      </c>
      <c r="BI33" s="167">
        <v>-6.4083988249863388E-4</v>
      </c>
      <c r="BJ33" s="167">
        <v>6.2572748607294768</v>
      </c>
      <c r="BK33" s="167">
        <v>-6.8333143890418224E-2</v>
      </c>
      <c r="BL33" s="167">
        <v>-1.1061035913243604</v>
      </c>
      <c r="BM33" s="26"/>
      <c r="BN33" s="26"/>
    </row>
    <row r="34" spans="1:66">
      <c r="A34" s="26"/>
      <c r="B34" s="26"/>
      <c r="C34" s="26"/>
      <c r="D34" s="26"/>
      <c r="E34" s="26"/>
      <c r="F34" s="26"/>
      <c r="G34" s="26"/>
      <c r="H34" s="26"/>
      <c r="I34" s="26"/>
      <c r="J34" s="26"/>
      <c r="K34" s="26"/>
      <c r="L34" s="26"/>
      <c r="M34" s="2"/>
      <c r="N34" s="26"/>
      <c r="O34" s="167">
        <v>4.4000000000000012</v>
      </c>
      <c r="P34" s="167">
        <v>1.9989847053197256</v>
      </c>
      <c r="Q34" s="167">
        <v>1.6890173229515816E-8</v>
      </c>
      <c r="R34" s="167">
        <v>1.0152608999277168E-3</v>
      </c>
      <c r="S34" s="167">
        <v>0.99898472220989909</v>
      </c>
      <c r="T34" s="167"/>
      <c r="U34" s="167"/>
      <c r="V34" s="167"/>
      <c r="W34" s="167"/>
      <c r="X34" s="555">
        <v>2.3406043929943344E-4</v>
      </c>
      <c r="Y34" s="555">
        <v>12.487507292826194</v>
      </c>
      <c r="Z34" s="167">
        <v>6.4703073210120445</v>
      </c>
      <c r="AA34" s="167">
        <v>1.8928699116794991</v>
      </c>
      <c r="AB34" s="167">
        <v>2.0872746628887413E-4</v>
      </c>
      <c r="AC34" s="167">
        <v>0.1067126333879234</v>
      </c>
      <c r="AD34" s="167">
        <v>0.89307863914578778</v>
      </c>
      <c r="AE34" s="167"/>
      <c r="AF34" s="167"/>
      <c r="AG34" s="167"/>
      <c r="AH34" s="167"/>
      <c r="AI34" s="167">
        <v>0.46216480864371745</v>
      </c>
      <c r="AJ34" s="167">
        <v>0.9243296172874349</v>
      </c>
      <c r="AK34" s="167">
        <v>0.23108240432185873</v>
      </c>
      <c r="AL34" s="167">
        <v>1.1061703391188088E-2</v>
      </c>
      <c r="AM34" s="167">
        <v>4.4000000000000012</v>
      </c>
      <c r="AN34" s="167">
        <v>-7.7723155779741386</v>
      </c>
      <c r="AO34" s="167">
        <v>-2.9934029598084089</v>
      </c>
      <c r="AP34" s="167">
        <v>-4.41150670419533E-4</v>
      </c>
      <c r="AQ34" s="167"/>
      <c r="AR34" s="167"/>
      <c r="AS34" s="167"/>
      <c r="AT34" s="167"/>
      <c r="AU34" s="167">
        <v>-3.6306484792637268</v>
      </c>
      <c r="AV34" s="167">
        <v>12.487507292826194</v>
      </c>
      <c r="AW34" s="167">
        <v>4.4000000000000012</v>
      </c>
      <c r="AX34" s="167">
        <v>-3.6803965716934988</v>
      </c>
      <c r="AY34" s="167">
        <v>-0.97177787139399385</v>
      </c>
      <c r="AZ34" s="167">
        <v>-4.9109980122229141E-2</v>
      </c>
      <c r="BA34" s="167"/>
      <c r="BB34" s="167"/>
      <c r="BC34" s="167"/>
      <c r="BD34" s="167"/>
      <c r="BE34" s="167">
        <v>-4.3026815308502604</v>
      </c>
      <c r="BF34" s="167">
        <v>-2.1513407654251302</v>
      </c>
      <c r="BG34" s="167">
        <v>-1.9561653266207881</v>
      </c>
      <c r="BH34" s="167">
        <v>4.4000000000000012</v>
      </c>
      <c r="BI34" s="167">
        <v>-1.0152946802743923E-3</v>
      </c>
      <c r="BJ34" s="167">
        <v>6.4703073210120445</v>
      </c>
      <c r="BK34" s="167">
        <v>-0.10713008832050086</v>
      </c>
      <c r="BL34" s="167">
        <v>-1.0756703827125651</v>
      </c>
      <c r="BM34" s="26"/>
      <c r="BN34" s="26"/>
    </row>
    <row r="35" spans="1:66">
      <c r="A35" s="26"/>
      <c r="B35" s="26"/>
      <c r="C35" s="26"/>
      <c r="D35" s="26"/>
      <c r="E35" s="26"/>
      <c r="F35" s="26"/>
      <c r="G35" s="26"/>
      <c r="H35" s="26"/>
      <c r="I35" s="26"/>
      <c r="J35" s="26"/>
      <c r="K35" s="26"/>
      <c r="L35" s="26"/>
      <c r="M35" s="2"/>
      <c r="N35" s="26"/>
      <c r="O35" s="167">
        <v>4.6000000000000014</v>
      </c>
      <c r="P35" s="167">
        <v>1.9983917900857129</v>
      </c>
      <c r="Q35" s="167">
        <v>4.2401017340586362E-8</v>
      </c>
      <c r="R35" s="167">
        <v>1.6081251122523907E-3</v>
      </c>
      <c r="S35" s="167">
        <v>0.99839183248673025</v>
      </c>
      <c r="T35" s="167"/>
      <c r="U35" s="167"/>
      <c r="V35" s="167"/>
      <c r="W35" s="167"/>
      <c r="X35" s="555">
        <v>2.5886733976578731E-4</v>
      </c>
      <c r="Y35" s="555">
        <v>13.560292513284367</v>
      </c>
      <c r="Z35" s="167">
        <v>6.6836852438660559</v>
      </c>
      <c r="AA35" s="167">
        <v>1.8356506174095022</v>
      </c>
      <c r="AB35" s="167">
        <v>5.2208561937586542E-4</v>
      </c>
      <c r="AC35" s="167">
        <v>0.16330521135174603</v>
      </c>
      <c r="AD35" s="167">
        <v>0.83617270302887814</v>
      </c>
      <c r="AE35" s="167"/>
      <c r="AF35" s="167"/>
      <c r="AG35" s="167"/>
      <c r="AH35" s="167"/>
      <c r="AI35" s="167">
        <v>0.4774060888475754</v>
      </c>
      <c r="AJ35" s="167">
        <v>0.95481217769515081</v>
      </c>
      <c r="AK35" s="167">
        <v>0.2387030444237877</v>
      </c>
      <c r="AL35" s="167">
        <v>1.5932769215144218E-2</v>
      </c>
      <c r="AM35" s="167">
        <v>4.6000000000000014</v>
      </c>
      <c r="AN35" s="167">
        <v>-7.3725759928405248</v>
      </c>
      <c r="AO35" s="167">
        <v>-2.7936620798770924</v>
      </c>
      <c r="AP35" s="167">
        <v>-6.9897594140036013E-4</v>
      </c>
      <c r="AQ35" s="167"/>
      <c r="AR35" s="167"/>
      <c r="AS35" s="167"/>
      <c r="AT35" s="167"/>
      <c r="AU35" s="167">
        <v>-3.5868995175720149</v>
      </c>
      <c r="AV35" s="167">
        <v>13.560292513284367</v>
      </c>
      <c r="AW35" s="167">
        <v>4.6000000000000014</v>
      </c>
      <c r="AX35" s="167">
        <v>-3.282237019777162</v>
      </c>
      <c r="AY35" s="167">
        <v>-0.78699486092544646</v>
      </c>
      <c r="AZ35" s="167">
        <v>-7.7703511101471362E-2</v>
      </c>
      <c r="BA35" s="167"/>
      <c r="BB35" s="167"/>
      <c r="BC35" s="167"/>
      <c r="BD35" s="167"/>
      <c r="BE35" s="167">
        <v>-4.1807512892193968</v>
      </c>
      <c r="BF35" s="167">
        <v>-2.0903756446096984</v>
      </c>
      <c r="BG35" s="167">
        <v>-1.7976970961899035</v>
      </c>
      <c r="BH35" s="167">
        <v>4.6000000000000014</v>
      </c>
      <c r="BI35" s="167">
        <v>-1.6082099142871176E-3</v>
      </c>
      <c r="BJ35" s="167">
        <v>6.6836852438660559</v>
      </c>
      <c r="BK35" s="167">
        <v>-0.16434938259049781</v>
      </c>
      <c r="BL35" s="167">
        <v>-1.0451878223048492</v>
      </c>
      <c r="BM35" s="26"/>
      <c r="BN35" s="26"/>
    </row>
    <row r="36" spans="1:66">
      <c r="A36" s="26"/>
      <c r="B36" s="26"/>
      <c r="C36" s="26"/>
      <c r="D36" s="26"/>
      <c r="E36" s="26"/>
      <c r="F36" s="26"/>
      <c r="G36" s="26"/>
      <c r="H36" s="26"/>
      <c r="I36" s="26"/>
      <c r="J36" s="26"/>
      <c r="K36" s="26"/>
      <c r="L36" s="26"/>
      <c r="M36" s="2"/>
      <c r="N36" s="26"/>
      <c r="O36" s="167">
        <v>4.8000000000000016</v>
      </c>
      <c r="P36" s="167">
        <v>1.9974534758204876</v>
      </c>
      <c r="Q36" s="167">
        <v>1.0640644938837019E-7</v>
      </c>
      <c r="R36" s="167">
        <v>2.5463113666135311E-3</v>
      </c>
      <c r="S36" s="167">
        <v>0.99745358222693703</v>
      </c>
      <c r="T36" s="167"/>
      <c r="U36" s="167"/>
      <c r="V36" s="167"/>
      <c r="W36" s="167"/>
      <c r="X36" s="555">
        <v>3.3915255330263592E-4</v>
      </c>
      <c r="Y36" s="555">
        <v>14.799194350780454</v>
      </c>
      <c r="Z36" s="167">
        <v>6.8970304591995308</v>
      </c>
      <c r="AA36" s="167">
        <v>1.755821144665269</v>
      </c>
      <c r="AB36" s="167">
        <v>1.2626416795622746E-3</v>
      </c>
      <c r="AC36" s="167">
        <v>0.24165357197560672</v>
      </c>
      <c r="AD36" s="167">
        <v>0.75708378634483098</v>
      </c>
      <c r="AE36" s="167"/>
      <c r="AF36" s="167"/>
      <c r="AG36" s="167"/>
      <c r="AH36" s="167"/>
      <c r="AI36" s="167">
        <v>0.49264503279996646</v>
      </c>
      <c r="AJ36" s="167">
        <v>0.98529006559993293</v>
      </c>
      <c r="AK36" s="167">
        <v>0.24632251639998323</v>
      </c>
      <c r="AL36" s="167">
        <v>2.1539222872890489E-2</v>
      </c>
      <c r="AM36" s="167">
        <v>4.8000000000000016</v>
      </c>
      <c r="AN36" s="167">
        <v>-6.9729869049437605</v>
      </c>
      <c r="AO36" s="167">
        <v>-2.5940716971826254</v>
      </c>
      <c r="AP36" s="167">
        <v>-1.107298449230237E-3</v>
      </c>
      <c r="AQ36" s="167"/>
      <c r="AR36" s="167"/>
      <c r="AS36" s="167"/>
      <c r="AT36" s="167"/>
      <c r="AU36" s="167">
        <v>-3.4695824468277392</v>
      </c>
      <c r="AV36" s="167">
        <v>14.799194350780454</v>
      </c>
      <c r="AW36" s="167">
        <v>4.8000000000000016</v>
      </c>
      <c r="AX36" s="167">
        <v>-2.898701112514396</v>
      </c>
      <c r="AY36" s="167">
        <v>-0.61680278780168163</v>
      </c>
      <c r="AZ36" s="167">
        <v>-0.12085527211670775</v>
      </c>
      <c r="BA36" s="167"/>
      <c r="BB36" s="167"/>
      <c r="BC36" s="167"/>
      <c r="BD36" s="167"/>
      <c r="BE36" s="167">
        <v>-4.0588397376002678</v>
      </c>
      <c r="BF36" s="167">
        <v>-2.0294198688001339</v>
      </c>
      <c r="BG36" s="167">
        <v>-1.6667591792882928</v>
      </c>
      <c r="BH36" s="167">
        <v>4.8000000000000016</v>
      </c>
      <c r="BI36" s="167">
        <v>-2.5465241795123994E-3</v>
      </c>
      <c r="BJ36" s="167">
        <v>6.8970304591995308</v>
      </c>
      <c r="BK36" s="167">
        <v>-0.24417885533473105</v>
      </c>
      <c r="BL36" s="167">
        <v>-1.014709934400067</v>
      </c>
      <c r="BM36" s="26"/>
      <c r="BN36" s="26"/>
    </row>
    <row r="37" spans="1:66">
      <c r="A37" s="26"/>
      <c r="B37" s="26"/>
      <c r="C37" s="26"/>
      <c r="D37" s="26"/>
      <c r="E37" s="26"/>
      <c r="F37" s="26"/>
      <c r="G37" s="26"/>
      <c r="H37" s="26"/>
      <c r="I37" s="26"/>
      <c r="J37" s="26"/>
      <c r="K37" s="26"/>
      <c r="L37" s="26"/>
      <c r="M37" s="2"/>
      <c r="N37" s="26"/>
      <c r="O37" s="167">
        <v>5.0000000000000018</v>
      </c>
      <c r="P37" s="167">
        <v>1.9959698367391756</v>
      </c>
      <c r="Q37" s="167">
        <v>2.6688339867655185E-7</v>
      </c>
      <c r="R37" s="167">
        <v>4.0296294940272686E-3</v>
      </c>
      <c r="S37" s="167">
        <v>0.9959701036225741</v>
      </c>
      <c r="T37" s="167"/>
      <c r="U37" s="167"/>
      <c r="V37" s="167"/>
      <c r="W37" s="167"/>
      <c r="X37" s="555">
        <v>4.9164745907440718E-4</v>
      </c>
      <c r="Y37" s="555">
        <v>16.054576211899985</v>
      </c>
      <c r="Z37" s="167">
        <v>7.1099804688999608</v>
      </c>
      <c r="AA37" s="167">
        <v>1.6525477623601825</v>
      </c>
      <c r="AB37" s="167">
        <v>2.9146336616592823E-3</v>
      </c>
      <c r="AC37" s="167">
        <v>0.34162297031649858</v>
      </c>
      <c r="AD37" s="167">
        <v>0.65546239602184209</v>
      </c>
      <c r="AE37" s="167"/>
      <c r="AF37" s="167"/>
      <c r="AG37" s="167"/>
      <c r="AH37" s="167"/>
      <c r="AI37" s="167">
        <v>0.50785574777856868</v>
      </c>
      <c r="AJ37" s="167">
        <v>1.0157114955571374</v>
      </c>
      <c r="AK37" s="167">
        <v>0.25392787388928434</v>
      </c>
      <c r="AL37" s="167">
        <v>2.6775064894176519E-2</v>
      </c>
      <c r="AM37" s="167">
        <v>5.0000000000000018</v>
      </c>
      <c r="AN37" s="167">
        <v>-6.5736358824841163</v>
      </c>
      <c r="AO37" s="167">
        <v>-2.3947193799252782</v>
      </c>
      <c r="AP37" s="167">
        <v>-1.7536863941804747E-3</v>
      </c>
      <c r="AQ37" s="167"/>
      <c r="AR37" s="167"/>
      <c r="AS37" s="167"/>
      <c r="AT37" s="167"/>
      <c r="AU37" s="167">
        <v>-3.3083247828154745</v>
      </c>
      <c r="AV37" s="167">
        <v>16.054576211899985</v>
      </c>
      <c r="AW37" s="167">
        <v>5.0000000000000018</v>
      </c>
      <c r="AX37" s="167">
        <v>-2.5353996094013396</v>
      </c>
      <c r="AY37" s="167">
        <v>-0.4664499157531381</v>
      </c>
      <c r="AZ37" s="167">
        <v>-0.18345103113267708</v>
      </c>
      <c r="BA37" s="167"/>
      <c r="BB37" s="167"/>
      <c r="BC37" s="167"/>
      <c r="BD37" s="167"/>
      <c r="BE37" s="167">
        <v>-3.9371540177714506</v>
      </c>
      <c r="BF37" s="167">
        <v>-1.9685770088857253</v>
      </c>
      <c r="BG37" s="167">
        <v>-1.5722592890497109</v>
      </c>
      <c r="BH37" s="167">
        <v>5.0000000000000018</v>
      </c>
      <c r="BI37" s="167">
        <v>-4.0301632608243931E-3</v>
      </c>
      <c r="BJ37" s="167">
        <v>7.1099804688999608</v>
      </c>
      <c r="BK37" s="167">
        <v>-0.34745223763981747</v>
      </c>
      <c r="BL37" s="167">
        <v>-0.98428850444286264</v>
      </c>
      <c r="BM37" s="26"/>
      <c r="BN37" s="26"/>
    </row>
    <row r="38" spans="1:66">
      <c r="A38" s="26"/>
      <c r="B38" s="26"/>
      <c r="C38" s="26"/>
      <c r="D38" s="26"/>
      <c r="E38" s="26"/>
      <c r="F38" s="26"/>
      <c r="G38" s="26"/>
      <c r="H38" s="26"/>
      <c r="I38" s="26"/>
      <c r="J38" s="26"/>
      <c r="K38" s="26"/>
      <c r="L38" s="26"/>
      <c r="M38" s="2"/>
      <c r="N38" s="26"/>
      <c r="O38" s="167">
        <v>5.200000000000002</v>
      </c>
      <c r="P38" s="167">
        <v>1.9936271496458493</v>
      </c>
      <c r="Q38" s="167">
        <v>6.6880421151168475E-7</v>
      </c>
      <c r="R38" s="167">
        <v>6.3715127457277662E-3</v>
      </c>
      <c r="S38" s="167">
        <v>0.99362781845006076</v>
      </c>
      <c r="T38" s="167"/>
      <c r="U38" s="167"/>
      <c r="V38" s="167"/>
      <c r="W38" s="167"/>
      <c r="X38" s="555">
        <v>7.4777736049336664E-4</v>
      </c>
      <c r="Y38" s="555">
        <v>17.173922529036645</v>
      </c>
      <c r="Z38" s="167">
        <v>7.322349098093679</v>
      </c>
      <c r="AA38" s="167">
        <v>1.5307851954100198</v>
      </c>
      <c r="AB38" s="167">
        <v>6.3512332241065107E-3</v>
      </c>
      <c r="AC38" s="167">
        <v>0.45651233814176712</v>
      </c>
      <c r="AD38" s="167">
        <v>0.53713642863412625</v>
      </c>
      <c r="AE38" s="167"/>
      <c r="AF38" s="167"/>
      <c r="AG38" s="167"/>
      <c r="AH38" s="167"/>
      <c r="AI38" s="167">
        <v>0.52302493557811991</v>
      </c>
      <c r="AJ38" s="167">
        <v>1.0460498711562398</v>
      </c>
      <c r="AK38" s="167">
        <v>0.26151246778905995</v>
      </c>
      <c r="AL38" s="167">
        <v>3.0136586394410761E-2</v>
      </c>
      <c r="AM38" s="167">
        <v>5.200000000000002</v>
      </c>
      <c r="AN38" s="167">
        <v>-6.1746610258312309</v>
      </c>
      <c r="AO38" s="167">
        <v>-2.1957432284746901</v>
      </c>
      <c r="AP38" s="167">
        <v>-2.7762401458893949E-3</v>
      </c>
      <c r="AQ38" s="167"/>
      <c r="AR38" s="167"/>
      <c r="AS38" s="167"/>
      <c r="AT38" s="167"/>
      <c r="AU38" s="167">
        <v>-3.1262074484037696</v>
      </c>
      <c r="AV38" s="167">
        <v>17.173922529036645</v>
      </c>
      <c r="AW38" s="167">
        <v>5.200000000000002</v>
      </c>
      <c r="AX38" s="167">
        <v>-2.1971277149365323</v>
      </c>
      <c r="AY38" s="167">
        <v>-0.34054527560998299</v>
      </c>
      <c r="AZ38" s="167">
        <v>-0.26991364531117384</v>
      </c>
      <c r="BA38" s="167"/>
      <c r="BB38" s="167"/>
      <c r="BC38" s="167"/>
      <c r="BD38" s="167"/>
      <c r="BE38" s="167">
        <v>-3.8158005153750407</v>
      </c>
      <c r="BF38" s="167">
        <v>-1.9079002576875204</v>
      </c>
      <c r="BG38" s="167">
        <v>-1.5208960959403153</v>
      </c>
      <c r="BH38" s="167">
        <v>5.200000000000002</v>
      </c>
      <c r="BI38" s="167">
        <v>-6.3728503541506942E-3</v>
      </c>
      <c r="BJ38" s="167">
        <v>7.322349098093679</v>
      </c>
      <c r="BK38" s="167">
        <v>-0.46921480458998022</v>
      </c>
      <c r="BL38" s="167">
        <v>-0.95395012884376018</v>
      </c>
      <c r="BM38" s="26"/>
      <c r="BN38" s="26"/>
    </row>
    <row r="39" spans="1:66">
      <c r="A39" s="26"/>
      <c r="B39" s="26"/>
      <c r="C39" s="26"/>
      <c r="D39" s="26"/>
      <c r="E39" s="26"/>
      <c r="F39" s="26"/>
      <c r="G39" s="26"/>
      <c r="H39" s="26"/>
      <c r="I39" s="26"/>
      <c r="J39" s="26"/>
      <c r="K39" s="26"/>
      <c r="L39" s="26"/>
      <c r="M39" s="2"/>
      <c r="N39" s="26"/>
      <c r="O39" s="167">
        <v>5.4000000000000021</v>
      </c>
      <c r="P39" s="167">
        <v>1.9899359881737166</v>
      </c>
      <c r="Q39" s="167">
        <v>1.6737211514945602E-6</v>
      </c>
      <c r="R39" s="167">
        <v>1.0060664383979977E-2</v>
      </c>
      <c r="S39" s="167">
        <v>0.98993766189486843</v>
      </c>
      <c r="T39" s="167"/>
      <c r="U39" s="167"/>
      <c r="V39" s="167"/>
      <c r="W39" s="167"/>
      <c r="X39" s="555">
        <v>1.1591300193220964E-3</v>
      </c>
      <c r="Y39" s="555">
        <v>18.068469061108772</v>
      </c>
      <c r="Z39" s="167">
        <v>7.5341386806955644</v>
      </c>
      <c r="AA39" s="167">
        <v>1.4010230422239882</v>
      </c>
      <c r="AB39" s="167">
        <v>1.2982513654708521E-2</v>
      </c>
      <c r="AC39" s="167">
        <v>0.5730119304665946</v>
      </c>
      <c r="AD39" s="167">
        <v>0.41400555587869681</v>
      </c>
      <c r="AE39" s="167"/>
      <c r="AF39" s="167"/>
      <c r="AG39" s="167"/>
      <c r="AH39" s="167"/>
      <c r="AI39" s="167">
        <v>0.53815276290682601</v>
      </c>
      <c r="AJ39" s="167">
        <v>1.076305525813652</v>
      </c>
      <c r="AK39" s="167">
        <v>0.269076381453413</v>
      </c>
      <c r="AL39" s="167">
        <v>3.0645090576055464E-2</v>
      </c>
      <c r="AM39" s="167">
        <v>5.4000000000000021</v>
      </c>
      <c r="AN39" s="167">
        <v>-5.7762794996701405</v>
      </c>
      <c r="AO39" s="167">
        <v>-1.9973604075158968</v>
      </c>
      <c r="AP39" s="167">
        <v>-4.3921243893931634E-3</v>
      </c>
      <c r="AQ39" s="167"/>
      <c r="AR39" s="167"/>
      <c r="AS39" s="167"/>
      <c r="AT39" s="167"/>
      <c r="AU39" s="167">
        <v>-2.9358488398267548</v>
      </c>
      <c r="AV39" s="167">
        <v>18.068469061108772</v>
      </c>
      <c r="AW39" s="167">
        <v>5.4000000000000021</v>
      </c>
      <c r="AX39" s="167">
        <v>-1.8866289978582056</v>
      </c>
      <c r="AY39" s="167">
        <v>-0.24183477001021603</v>
      </c>
      <c r="AZ39" s="167">
        <v>-0.38299135118996691</v>
      </c>
      <c r="BA39" s="167"/>
      <c r="BB39" s="167"/>
      <c r="BC39" s="167"/>
      <c r="BD39" s="167"/>
      <c r="BE39" s="167">
        <v>-3.6947778967453919</v>
      </c>
      <c r="BF39" s="167">
        <v>-1.847388948372696</v>
      </c>
      <c r="BG39" s="167">
        <v>-1.5136292914069092</v>
      </c>
      <c r="BH39" s="167">
        <v>5.4000000000000021</v>
      </c>
      <c r="BI39" s="167">
        <v>-1.0064011826283359E-2</v>
      </c>
      <c r="BJ39" s="167">
        <v>7.5341386806955644</v>
      </c>
      <c r="BK39" s="167">
        <v>-0.59897695777601179</v>
      </c>
      <c r="BL39" s="167">
        <v>-0.92369447418634798</v>
      </c>
      <c r="BM39" s="26"/>
      <c r="BN39" s="26"/>
    </row>
    <row r="40" spans="1:66">
      <c r="A40" s="26"/>
      <c r="B40" s="26"/>
      <c r="C40" s="26"/>
      <c r="D40" s="26"/>
      <c r="E40" s="26"/>
      <c r="F40" s="26"/>
      <c r="G40" s="26"/>
      <c r="H40" s="26"/>
      <c r="I40" s="26"/>
      <c r="J40" s="26"/>
      <c r="K40" s="26"/>
      <c r="L40" s="26"/>
      <c r="M40" s="2"/>
      <c r="N40" s="26"/>
      <c r="O40" s="167">
        <v>5.6000000000000023</v>
      </c>
      <c r="P40" s="167">
        <v>1.9841398807544208</v>
      </c>
      <c r="Q40" s="167">
        <v>4.179592421591285E-6</v>
      </c>
      <c r="R40" s="167">
        <v>1.5851760060735756E-2</v>
      </c>
      <c r="S40" s="167">
        <v>0.98414406034684265</v>
      </c>
      <c r="T40" s="167"/>
      <c r="U40" s="167"/>
      <c r="V40" s="167"/>
      <c r="W40" s="167"/>
      <c r="X40" s="555">
        <v>1.8053896370603213E-3</v>
      </c>
      <c r="Y40" s="555">
        <v>18.725484058086295</v>
      </c>
      <c r="Z40" s="167">
        <v>7.7454546772478645</v>
      </c>
      <c r="AA40" s="167">
        <v>1.2750099205877117</v>
      </c>
      <c r="AB40" s="167">
        <v>2.4886004577105651E-2</v>
      </c>
      <c r="AC40" s="167">
        <v>0.6752180702580769</v>
      </c>
      <c r="AD40" s="167">
        <v>0.29989592516481739</v>
      </c>
      <c r="AE40" s="167"/>
      <c r="AF40" s="167"/>
      <c r="AG40" s="167"/>
      <c r="AH40" s="167"/>
      <c r="AI40" s="167">
        <v>0.55324676266056172</v>
      </c>
      <c r="AJ40" s="167">
        <v>1.1064935253211234</v>
      </c>
      <c r="AK40" s="167">
        <v>0.27662338133028086</v>
      </c>
      <c r="AL40" s="167">
        <v>2.8686512853821296E-2</v>
      </c>
      <c r="AM40" s="167">
        <v>5.6000000000000023</v>
      </c>
      <c r="AN40" s="167">
        <v>-5.3788312442361024</v>
      </c>
      <c r="AO40" s="167">
        <v>-1.7999108572841556</v>
      </c>
      <c r="AP40" s="167">
        <v>-6.9412793599494807E-3</v>
      </c>
      <c r="AQ40" s="167"/>
      <c r="AR40" s="167"/>
      <c r="AS40" s="167"/>
      <c r="AT40" s="167"/>
      <c r="AU40" s="167">
        <v>-2.7434112937920165</v>
      </c>
      <c r="AV40" s="167">
        <v>18.725484058086295</v>
      </c>
      <c r="AW40" s="167">
        <v>5.6000000000000023</v>
      </c>
      <c r="AX40" s="167">
        <v>-1.6040344387673935</v>
      </c>
      <c r="AY40" s="167">
        <v>-0.17055483941436919</v>
      </c>
      <c r="AZ40" s="167">
        <v>-0.52302604908908557</v>
      </c>
      <c r="BA40" s="167"/>
      <c r="BB40" s="167"/>
      <c r="BC40" s="167"/>
      <c r="BD40" s="167"/>
      <c r="BE40" s="167">
        <v>-3.5740258987155062</v>
      </c>
      <c r="BF40" s="167">
        <v>-1.7870129493577531</v>
      </c>
      <c r="BG40" s="167">
        <v>-1.5423122566132781</v>
      </c>
      <c r="BH40" s="167">
        <v>5.6000000000000023</v>
      </c>
      <c r="BI40" s="167">
        <v>-1.5860119245579174E-2</v>
      </c>
      <c r="BJ40" s="167">
        <v>7.7454546772478645</v>
      </c>
      <c r="BK40" s="167">
        <v>-0.72499007941228832</v>
      </c>
      <c r="BL40" s="167">
        <v>-0.89350647467887656</v>
      </c>
      <c r="BM40" s="26"/>
      <c r="BN40" s="26"/>
    </row>
    <row r="41" spans="1:66">
      <c r="A41" s="26"/>
      <c r="B41" s="26"/>
      <c r="C41" s="26"/>
      <c r="D41" s="26"/>
      <c r="E41" s="26"/>
      <c r="F41" s="26"/>
      <c r="G41" s="26"/>
      <c r="H41" s="26"/>
      <c r="I41" s="26"/>
      <c r="J41" s="26"/>
      <c r="K41" s="26"/>
      <c r="L41" s="26"/>
      <c r="M41" s="2"/>
      <c r="N41" s="26"/>
      <c r="O41" s="167">
        <v>5.8000000000000025</v>
      </c>
      <c r="P41" s="167">
        <v>1.9750867984012801</v>
      </c>
      <c r="Q41" s="167">
        <v>1.0402151314920563E-5</v>
      </c>
      <c r="R41" s="167">
        <v>2.4892397296090028E-2</v>
      </c>
      <c r="S41" s="167">
        <v>0.97509720055259508</v>
      </c>
      <c r="T41" s="167"/>
      <c r="U41" s="167"/>
      <c r="V41" s="167"/>
      <c r="W41" s="167"/>
      <c r="X41" s="555">
        <v>2.8038824985810082E-3</v>
      </c>
      <c r="Y41" s="555">
        <v>19.179874857945833</v>
      </c>
      <c r="Z41" s="167">
        <v>7.9564249462523851</v>
      </c>
      <c r="AA41" s="167">
        <v>1.1600263971244733</v>
      </c>
      <c r="AB41" s="167">
        <v>4.4936653435724006E-2</v>
      </c>
      <c r="AC41" s="167">
        <v>0.75010029600407868</v>
      </c>
      <c r="AD41" s="167">
        <v>0.20496305056019731</v>
      </c>
      <c r="AE41" s="167"/>
      <c r="AF41" s="167"/>
      <c r="AG41" s="167"/>
      <c r="AH41" s="167"/>
      <c r="AI41" s="167">
        <v>0.56831606758945608</v>
      </c>
      <c r="AJ41" s="167">
        <v>1.1366321351789122</v>
      </c>
      <c r="AK41" s="167">
        <v>0.28415803379472804</v>
      </c>
      <c r="AL41" s="167">
        <v>2.5825368155059307E-2</v>
      </c>
      <c r="AM41" s="167">
        <v>5.8000000000000025</v>
      </c>
      <c r="AN41" s="167">
        <v>-4.9828445739620637</v>
      </c>
      <c r="AO41" s="167">
        <v>-1.6039228922124145</v>
      </c>
      <c r="AP41" s="167">
        <v>-1.0952019490505406E-2</v>
      </c>
      <c r="AQ41" s="167"/>
      <c r="AR41" s="167"/>
      <c r="AS41" s="167"/>
      <c r="AT41" s="167"/>
      <c r="AU41" s="167">
        <v>-2.5522236669921581</v>
      </c>
      <c r="AV41" s="167">
        <v>19.179874857945833</v>
      </c>
      <c r="AW41" s="167">
        <v>5.8000000000000025</v>
      </c>
      <c r="AX41" s="167">
        <v>-1.3473905508480222</v>
      </c>
      <c r="AY41" s="167">
        <v>-0.12487985468042009</v>
      </c>
      <c r="AZ41" s="167">
        <v>-0.68831996754055846</v>
      </c>
      <c r="BA41" s="167"/>
      <c r="BB41" s="167"/>
      <c r="BC41" s="167"/>
      <c r="BD41" s="167"/>
      <c r="BE41" s="167">
        <v>-3.4534714592843514</v>
      </c>
      <c r="BF41" s="167">
        <v>-1.7267357296421757</v>
      </c>
      <c r="BG41" s="167">
        <v>-1.5879431982610215</v>
      </c>
      <c r="BH41" s="167">
        <v>5.8000000000000025</v>
      </c>
      <c r="BI41" s="167">
        <v>-2.4913201598719903E-2</v>
      </c>
      <c r="BJ41" s="167">
        <v>7.9564249462523851</v>
      </c>
      <c r="BK41" s="167">
        <v>-0.83997360287552669</v>
      </c>
      <c r="BL41" s="167">
        <v>-0.86336786482108785</v>
      </c>
      <c r="BM41" s="26"/>
      <c r="BN41" s="26"/>
    </row>
    <row r="42" spans="1:66">
      <c r="A42" s="26"/>
      <c r="B42" s="26"/>
      <c r="C42" s="26"/>
      <c r="D42" s="26"/>
      <c r="E42" s="26"/>
      <c r="F42" s="26"/>
      <c r="G42" s="26"/>
      <c r="H42" s="26"/>
      <c r="I42" s="26"/>
      <c r="J42" s="26"/>
      <c r="K42" s="26"/>
      <c r="L42" s="26"/>
      <c r="M42" s="2"/>
      <c r="N42" s="26"/>
      <c r="O42" s="167">
        <v>6.0000000000000027</v>
      </c>
      <c r="P42" s="167">
        <v>1.961063455763653</v>
      </c>
      <c r="Q42" s="167">
        <v>2.5753660045558851E-5</v>
      </c>
      <c r="R42" s="167">
        <v>3.8885036916255819E-2</v>
      </c>
      <c r="S42" s="167">
        <v>0.96108920942369858</v>
      </c>
      <c r="T42" s="167"/>
      <c r="U42" s="167"/>
      <c r="V42" s="167"/>
      <c r="W42" s="167"/>
      <c r="X42" s="555">
        <v>4.3171267192820186E-3</v>
      </c>
      <c r="Y42" s="555">
        <v>19.48181740444852</v>
      </c>
      <c r="Z42" s="167">
        <v>8.1671594790759396</v>
      </c>
      <c r="AA42" s="167">
        <v>1.0560047748147776</v>
      </c>
      <c r="AB42" s="167">
        <v>7.6903554881155578E-2</v>
      </c>
      <c r="AC42" s="167">
        <v>0.79018811542291123</v>
      </c>
      <c r="AD42" s="167">
        <v>0.13290832969593314</v>
      </c>
      <c r="AE42" s="167"/>
      <c r="AF42" s="167"/>
      <c r="AG42" s="167"/>
      <c r="AH42" s="167"/>
      <c r="AI42" s="167">
        <v>0.58336853421971002</v>
      </c>
      <c r="AJ42" s="167">
        <v>1.16673706843942</v>
      </c>
      <c r="AK42" s="167">
        <v>0.29168426710985501</v>
      </c>
      <c r="AL42" s="167">
        <v>2.3798912167528073E-2</v>
      </c>
      <c r="AM42" s="167">
        <v>6.0000000000000027</v>
      </c>
      <c r="AN42" s="167">
        <v>-4.5891313312184172</v>
      </c>
      <c r="AO42" s="167">
        <v>-1.4102083546710651</v>
      </c>
      <c r="AP42" s="167">
        <v>-1.7236187151453204E-2</v>
      </c>
      <c r="AQ42" s="167"/>
      <c r="AR42" s="167"/>
      <c r="AS42" s="167"/>
      <c r="AT42" s="167"/>
      <c r="AU42" s="167">
        <v>-2.3647898937236427</v>
      </c>
      <c r="AV42" s="167">
        <v>19.48181740444852</v>
      </c>
      <c r="AW42" s="167">
        <v>6.0000000000000027</v>
      </c>
      <c r="AX42" s="167">
        <v>-1.1140463720210931</v>
      </c>
      <c r="AY42" s="167">
        <v>-0.1022688443841005</v>
      </c>
      <c r="AZ42" s="167">
        <v>-0.87644212577484815</v>
      </c>
      <c r="BA42" s="167"/>
      <c r="BB42" s="167"/>
      <c r="BC42" s="167"/>
      <c r="BD42" s="167"/>
      <c r="BE42" s="167">
        <v>-3.3330517262423198</v>
      </c>
      <c r="BF42" s="167">
        <v>-1.6665258631211599</v>
      </c>
      <c r="BG42" s="167">
        <v>-1.6234323836515399</v>
      </c>
      <c r="BH42" s="167">
        <v>6.0000000000000027</v>
      </c>
      <c r="BI42" s="167">
        <v>-3.8936544236346959E-2</v>
      </c>
      <c r="BJ42" s="167">
        <v>8.1671594790759396</v>
      </c>
      <c r="BK42" s="167">
        <v>-0.94399522518522239</v>
      </c>
      <c r="BL42" s="167">
        <v>-0.83326293156057996</v>
      </c>
      <c r="BM42" s="26"/>
      <c r="BN42" s="26"/>
    </row>
    <row r="43" spans="1:66">
      <c r="A43" s="26"/>
      <c r="B43" s="26"/>
      <c r="C43" s="26"/>
      <c r="D43" s="26"/>
      <c r="E43" s="26"/>
      <c r="F43" s="26"/>
      <c r="G43" s="26"/>
      <c r="H43" s="26"/>
      <c r="I43" s="26"/>
      <c r="J43" s="26"/>
      <c r="K43" s="26"/>
      <c r="L43" s="26"/>
      <c r="M43" s="2"/>
      <c r="N43" s="26"/>
      <c r="O43" s="167">
        <v>6.2000000000000028</v>
      </c>
      <c r="P43" s="167">
        <v>1.9396176518225914</v>
      </c>
      <c r="Q43" s="167">
        <v>6.3249290375321312E-5</v>
      </c>
      <c r="R43" s="167">
        <v>6.025584959665805E-2</v>
      </c>
      <c r="S43" s="167">
        <v>0.93968090111296665</v>
      </c>
      <c r="T43" s="167"/>
      <c r="U43" s="167"/>
      <c r="V43" s="167"/>
      <c r="W43" s="167"/>
      <c r="X43" s="555">
        <v>6.5485221619181683E-3</v>
      </c>
      <c r="Y43" s="555">
        <v>19.677734184369911</v>
      </c>
      <c r="Z43" s="167">
        <v>8.377740060160809</v>
      </c>
      <c r="AA43" s="167">
        <v>0.9568182821461404</v>
      </c>
      <c r="AB43" s="167">
        <v>0.12527577561379585</v>
      </c>
      <c r="AC43" s="167">
        <v>0.79263016662626806</v>
      </c>
      <c r="AD43" s="167">
        <v>8.209405775993614E-2</v>
      </c>
      <c r="AE43" s="167"/>
      <c r="AF43" s="167"/>
      <c r="AG43" s="167"/>
      <c r="AH43" s="167"/>
      <c r="AI43" s="167">
        <v>0.59841000429720059</v>
      </c>
      <c r="AJ43" s="167">
        <v>1.1968200085944012</v>
      </c>
      <c r="AK43" s="167">
        <v>0.2992050021486003</v>
      </c>
      <c r="AL43" s="167">
        <v>2.3666901957600513E-2</v>
      </c>
      <c r="AM43" s="167">
        <v>6.2000000000000028</v>
      </c>
      <c r="AN43" s="167">
        <v>-4.1989171587692571</v>
      </c>
      <c r="AO43" s="167">
        <v>-1.2199928874242019</v>
      </c>
      <c r="AP43" s="167">
        <v>-2.7019425106887162E-2</v>
      </c>
      <c r="AQ43" s="167"/>
      <c r="AR43" s="167"/>
      <c r="AS43" s="167"/>
      <c r="AT43" s="167"/>
      <c r="AU43" s="167">
        <v>-2.1838425601175024</v>
      </c>
      <c r="AV43" s="167">
        <v>19.677734184369911</v>
      </c>
      <c r="AW43" s="167">
        <v>6.2000000000000028</v>
      </c>
      <c r="AX43" s="167">
        <v>-0.90212705935289883</v>
      </c>
      <c r="AY43" s="167">
        <v>-0.10092874950451211</v>
      </c>
      <c r="AZ43" s="167">
        <v>-1.0856812486838658</v>
      </c>
      <c r="BA43" s="167"/>
      <c r="BB43" s="167"/>
      <c r="BC43" s="167"/>
      <c r="BD43" s="167"/>
      <c r="BE43" s="167">
        <v>-3.2127199656223953</v>
      </c>
      <c r="BF43" s="167">
        <v>-1.6063599828111976</v>
      </c>
      <c r="BG43" s="167">
        <v>-1.6258480625327487</v>
      </c>
      <c r="BH43" s="167">
        <v>6.2000000000000028</v>
      </c>
      <c r="BI43" s="167">
        <v>-6.0382348177408618E-2</v>
      </c>
      <c r="BJ43" s="167">
        <v>8.377740060160809</v>
      </c>
      <c r="BK43" s="167">
        <v>-1.0431817178538596</v>
      </c>
      <c r="BL43" s="167">
        <v>-0.80317999140559881</v>
      </c>
      <c r="BM43" s="26"/>
      <c r="BN43" s="26"/>
    </row>
    <row r="44" spans="1:66">
      <c r="A44" s="26"/>
      <c r="B44" s="26"/>
      <c r="C44" s="26"/>
      <c r="D44" s="26"/>
      <c r="E44" s="26"/>
      <c r="F44" s="26"/>
      <c r="G44" s="26"/>
      <c r="H44" s="26"/>
      <c r="I44" s="26"/>
      <c r="J44" s="26"/>
      <c r="K44" s="26"/>
      <c r="L44" s="26"/>
      <c r="M44" s="2"/>
      <c r="N44" s="26"/>
      <c r="O44" s="167">
        <v>6.400000000000003</v>
      </c>
      <c r="P44" s="167">
        <v>1.9074536468986101</v>
      </c>
      <c r="Q44" s="167">
        <v>1.5345220790099809E-4</v>
      </c>
      <c r="R44" s="167">
        <v>9.2239448685588088E-2</v>
      </c>
      <c r="S44" s="167">
        <v>0.90760709910651094</v>
      </c>
      <c r="T44" s="167"/>
      <c r="U44" s="167"/>
      <c r="V44" s="167"/>
      <c r="W44" s="167"/>
      <c r="X44" s="555">
        <v>9.7053743010358691E-3</v>
      </c>
      <c r="Y44" s="555">
        <v>19.803712518478278</v>
      </c>
      <c r="Z44" s="167">
        <v>8.5882232426729104</v>
      </c>
      <c r="AA44" s="167">
        <v>0.85396684075181928</v>
      </c>
      <c r="AB44" s="167">
        <v>0.19434471043814563</v>
      </c>
      <c r="AC44" s="167">
        <v>0.75734373837188929</v>
      </c>
      <c r="AD44" s="167">
        <v>4.8311551189965059E-2</v>
      </c>
      <c r="AE44" s="167"/>
      <c r="AF44" s="167"/>
      <c r="AG44" s="167"/>
      <c r="AH44" s="167"/>
      <c r="AI44" s="167">
        <v>0.61344451733377936</v>
      </c>
      <c r="AJ44" s="167">
        <v>1.2268890346675587</v>
      </c>
      <c r="AK44" s="167">
        <v>0.30672225866688968</v>
      </c>
      <c r="AL44" s="167">
        <v>2.5493290770411226E-2</v>
      </c>
      <c r="AM44" s="167">
        <v>6.400000000000003</v>
      </c>
      <c r="AN44" s="167">
        <v>-3.8140021665054316</v>
      </c>
      <c r="AO44" s="167">
        <v>-1.0350766003626735</v>
      </c>
      <c r="AP44" s="167">
        <v>-4.2101843247656152E-2</v>
      </c>
      <c r="AQ44" s="167"/>
      <c r="AR44" s="167"/>
      <c r="AS44" s="167"/>
      <c r="AT44" s="167"/>
      <c r="AU44" s="167">
        <v>-2.0129746787325482</v>
      </c>
      <c r="AV44" s="167">
        <v>19.803712518478278</v>
      </c>
      <c r="AW44" s="167">
        <v>6.400000000000003</v>
      </c>
      <c r="AX44" s="167">
        <v>-0.71142266947571497</v>
      </c>
      <c r="AY44" s="167">
        <v>-0.12070617947372345</v>
      </c>
      <c r="AZ44" s="167">
        <v>-1.3159404984994725</v>
      </c>
      <c r="BA44" s="167"/>
      <c r="BB44" s="167"/>
      <c r="BC44" s="167"/>
      <c r="BD44" s="167"/>
      <c r="BE44" s="167">
        <v>-3.0924438613297651</v>
      </c>
      <c r="BF44" s="167">
        <v>-1.5462219306648826</v>
      </c>
      <c r="BG44" s="167">
        <v>-1.593563783757137</v>
      </c>
      <c r="BH44" s="167">
        <v>6.400000000000003</v>
      </c>
      <c r="BI44" s="167">
        <v>-9.2546353101389922E-2</v>
      </c>
      <c r="BJ44" s="167">
        <v>8.5882232426729104</v>
      </c>
      <c r="BK44" s="167">
        <v>-1.1460331592481807</v>
      </c>
      <c r="BL44" s="167">
        <v>-0.77311096533244128</v>
      </c>
      <c r="BM44" s="26"/>
      <c r="BN44" s="26"/>
    </row>
    <row r="45" spans="1:66">
      <c r="A45" s="26"/>
      <c r="B45" s="26"/>
      <c r="C45" s="26"/>
      <c r="D45" s="26"/>
      <c r="E45" s="26"/>
      <c r="F45" s="26"/>
      <c r="G45" s="26"/>
      <c r="H45" s="26"/>
      <c r="I45" s="26"/>
      <c r="J45" s="26"/>
      <c r="K45" s="26"/>
      <c r="L45" s="26"/>
      <c r="M45" s="2"/>
      <c r="N45" s="26"/>
      <c r="O45" s="167">
        <v>6.6000000000000032</v>
      </c>
      <c r="P45" s="167">
        <v>1.8605928088681152</v>
      </c>
      <c r="Q45" s="167">
        <v>3.6564315798695861E-4</v>
      </c>
      <c r="R45" s="167">
        <v>0.13867590481591083</v>
      </c>
      <c r="S45" s="167">
        <v>0.86095845202610222</v>
      </c>
      <c r="T45" s="167"/>
      <c r="U45" s="167"/>
      <c r="V45" s="167"/>
      <c r="W45" s="167"/>
      <c r="X45" s="555">
        <v>1.389752257922409E-2</v>
      </c>
      <c r="Y45" s="555">
        <v>19.885540132236201</v>
      </c>
      <c r="Z45" s="167">
        <v>8.7986468997393832</v>
      </c>
      <c r="AA45" s="167">
        <v>0.74085079832936751</v>
      </c>
      <c r="AB45" s="167">
        <v>0.28613957357311048</v>
      </c>
      <c r="AC45" s="167">
        <v>0.68687005452441152</v>
      </c>
      <c r="AD45" s="167">
        <v>2.6990371902477994E-2</v>
      </c>
      <c r="AE45" s="167"/>
      <c r="AF45" s="167"/>
      <c r="AG45" s="167"/>
      <c r="AH45" s="167"/>
      <c r="AI45" s="167">
        <v>0.62847477855281308</v>
      </c>
      <c r="AJ45" s="167">
        <v>1.2569495571056262</v>
      </c>
      <c r="AK45" s="167">
        <v>0.31423738927640654</v>
      </c>
      <c r="AL45" s="167">
        <v>2.8337378044321803E-2</v>
      </c>
      <c r="AM45" s="167">
        <v>6.6000000000000032</v>
      </c>
      <c r="AN45" s="167">
        <v>-3.4369202980721787</v>
      </c>
      <c r="AO45" s="167">
        <v>-0.85799343713171805</v>
      </c>
      <c r="AP45" s="167">
        <v>-6.5017385218997831E-2</v>
      </c>
      <c r="AQ45" s="167"/>
      <c r="AR45" s="167"/>
      <c r="AS45" s="167"/>
      <c r="AT45" s="167"/>
      <c r="AU45" s="167">
        <v>-1.8570505890910916</v>
      </c>
      <c r="AV45" s="167">
        <v>19.885540132236201</v>
      </c>
      <c r="AW45" s="167">
        <v>6.6000000000000032</v>
      </c>
      <c r="AX45" s="167">
        <v>-0.54341855629230662</v>
      </c>
      <c r="AY45" s="167">
        <v>-0.16312436107644887</v>
      </c>
      <c r="AZ45" s="167">
        <v>-1.5687809748883317</v>
      </c>
      <c r="BA45" s="167"/>
      <c r="BB45" s="167"/>
      <c r="BC45" s="167"/>
      <c r="BD45" s="167"/>
      <c r="BE45" s="167">
        <v>-2.9722017715774953</v>
      </c>
      <c r="BF45" s="167">
        <v>-1.4861008857887477</v>
      </c>
      <c r="BG45" s="167">
        <v>-1.5476303165304046</v>
      </c>
      <c r="BH45" s="167">
        <v>6.6000000000000032</v>
      </c>
      <c r="BI45" s="167">
        <v>-0.13940719113188482</v>
      </c>
      <c r="BJ45" s="167">
        <v>8.7986468997393832</v>
      </c>
      <c r="BK45" s="167">
        <v>-1.2591492016706325</v>
      </c>
      <c r="BL45" s="167">
        <v>-0.74305044289437383</v>
      </c>
      <c r="BM45" s="26"/>
      <c r="BN45" s="26"/>
    </row>
    <row r="46" spans="1:66">
      <c r="A46" s="26"/>
      <c r="B46" s="26"/>
      <c r="C46" s="26"/>
      <c r="D46" s="26"/>
      <c r="E46" s="26"/>
      <c r="F46" s="26"/>
      <c r="G46" s="26"/>
      <c r="H46" s="26"/>
      <c r="I46" s="26"/>
      <c r="J46" s="26"/>
      <c r="K46" s="26"/>
      <c r="L46" s="26"/>
      <c r="M46" s="2"/>
      <c r="N46" s="26"/>
      <c r="O46" s="167">
        <v>6.8000000000000034</v>
      </c>
      <c r="P46" s="167">
        <v>1.795108714101654</v>
      </c>
      <c r="Q46" s="167">
        <v>8.4911265764617597E-4</v>
      </c>
      <c r="R46" s="167">
        <v>0.20319306058305361</v>
      </c>
      <c r="S46" s="167">
        <v>0.79595782675930016</v>
      </c>
      <c r="T46" s="167"/>
      <c r="U46" s="167"/>
      <c r="V46" s="167"/>
      <c r="W46" s="167"/>
      <c r="X46" s="555">
        <v>1.8952096564600462E-2</v>
      </c>
      <c r="Y46" s="555">
        <v>19.941073826339561</v>
      </c>
      <c r="Z46" s="167">
        <v>9.0090364657241615</v>
      </c>
      <c r="AA46" s="167">
        <v>0.6165566576005167</v>
      </c>
      <c r="AB46" s="167">
        <v>0.39767923578178033</v>
      </c>
      <c r="AC46" s="167">
        <v>0.58808487083592254</v>
      </c>
      <c r="AD46" s="167">
        <v>1.4235893382297134E-2</v>
      </c>
      <c r="AE46" s="167"/>
      <c r="AF46" s="167"/>
      <c r="AG46" s="167"/>
      <c r="AH46" s="167"/>
      <c r="AI46" s="167">
        <v>0.64350260469458298</v>
      </c>
      <c r="AJ46" s="167">
        <v>1.287005209389166</v>
      </c>
      <c r="AK46" s="167">
        <v>0.32175130234729149</v>
      </c>
      <c r="AL46" s="167">
        <v>3.0526654548970751E-2</v>
      </c>
      <c r="AM46" s="167">
        <v>6.8000000000000034</v>
      </c>
      <c r="AN46" s="167">
        <v>-3.0710148032387741</v>
      </c>
      <c r="AO46" s="167">
        <v>-0.69208664750061077</v>
      </c>
      <c r="AP46" s="167">
        <v>-9.9109300790187912E-2</v>
      </c>
      <c r="AQ46" s="167"/>
      <c r="AR46" s="167"/>
      <c r="AS46" s="167"/>
      <c r="AT46" s="167"/>
      <c r="AU46" s="167">
        <v>-1.7223315890380906</v>
      </c>
      <c r="AV46" s="167">
        <v>19.941073826339561</v>
      </c>
      <c r="AW46" s="167">
        <v>6.8000000000000034</v>
      </c>
      <c r="AX46" s="167">
        <v>-0.40046449183050703</v>
      </c>
      <c r="AY46" s="167">
        <v>-0.2305585005397936</v>
      </c>
      <c r="AZ46" s="167">
        <v>-1.8466033182768204</v>
      </c>
      <c r="BA46" s="167"/>
      <c r="BB46" s="167"/>
      <c r="BC46" s="167"/>
      <c r="BD46" s="167"/>
      <c r="BE46" s="167">
        <v>-2.8519791624433362</v>
      </c>
      <c r="BF46" s="167">
        <v>-1.4259895812216681</v>
      </c>
      <c r="BG46" s="167">
        <v>-1.5153109777537643</v>
      </c>
      <c r="BH46" s="167">
        <v>6.8000000000000034</v>
      </c>
      <c r="BI46" s="167">
        <v>-0.20489128589834604</v>
      </c>
      <c r="BJ46" s="167">
        <v>9.0090364657241615</v>
      </c>
      <c r="BK46" s="167">
        <v>-1.3834433423994832</v>
      </c>
      <c r="BL46" s="167">
        <v>-0.71299479061083404</v>
      </c>
      <c r="BM46" s="26"/>
      <c r="BN46" s="26"/>
    </row>
    <row r="47" spans="1:66">
      <c r="A47" s="26"/>
      <c r="B47" s="26"/>
      <c r="C47" s="26"/>
      <c r="D47" s="26"/>
      <c r="E47" s="26"/>
      <c r="F47" s="26"/>
      <c r="G47" s="26"/>
      <c r="H47" s="26"/>
      <c r="I47" s="26"/>
      <c r="J47" s="26"/>
      <c r="K47" s="26"/>
      <c r="L47" s="26"/>
      <c r="M47" s="2"/>
      <c r="N47" s="26"/>
      <c r="O47" s="167">
        <v>7.0000000000000036</v>
      </c>
      <c r="P47" s="167">
        <v>1.7086900202120345</v>
      </c>
      <c r="Q47" s="167">
        <v>1.9041312740060256E-3</v>
      </c>
      <c r="R47" s="167">
        <v>0.2875017172399531</v>
      </c>
      <c r="S47" s="167">
        <v>0.71059415148604077</v>
      </c>
      <c r="T47" s="167"/>
      <c r="U47" s="167"/>
      <c r="V47" s="167"/>
      <c r="W47" s="167"/>
      <c r="X47" s="555">
        <v>2.4207449495605625E-2</v>
      </c>
      <c r="Y47" s="555">
        <v>19.982924718351569</v>
      </c>
      <c r="Z47" s="167">
        <v>9.2194099000282304</v>
      </c>
      <c r="AA47" s="167">
        <v>0.487475778498072</v>
      </c>
      <c r="AB47" s="167">
        <v>0.51958349963643014</v>
      </c>
      <c r="AC47" s="167">
        <v>0.47335722222906768</v>
      </c>
      <c r="AD47" s="167">
        <v>7.059278134502185E-3</v>
      </c>
      <c r="AE47" s="167"/>
      <c r="AF47" s="167"/>
      <c r="AG47" s="167"/>
      <c r="AH47" s="167"/>
      <c r="AI47" s="167">
        <v>0.65852927857344501</v>
      </c>
      <c r="AJ47" s="167">
        <v>1.31705855714689</v>
      </c>
      <c r="AK47" s="167">
        <v>0.3292646392867225</v>
      </c>
      <c r="AL47" s="167">
        <v>3.0439076315771724E-2</v>
      </c>
      <c r="AM47" s="167">
        <v>7.0000000000000036</v>
      </c>
      <c r="AN47" s="167">
        <v>-2.7202855027177639</v>
      </c>
      <c r="AO47" s="167">
        <v>-0.54135605218189775</v>
      </c>
      <c r="AP47" s="167">
        <v>-0.1483774106737718</v>
      </c>
      <c r="AQ47" s="167"/>
      <c r="AR47" s="167"/>
      <c r="AS47" s="167"/>
      <c r="AT47" s="167"/>
      <c r="AU47" s="167">
        <v>-1.6160405032539849</v>
      </c>
      <c r="AV47" s="167">
        <v>19.982924718351569</v>
      </c>
      <c r="AW47" s="167">
        <v>7.0000000000000036</v>
      </c>
      <c r="AX47" s="167">
        <v>-0.2843428083844079</v>
      </c>
      <c r="AY47" s="167">
        <v>-0.32480888944256592</v>
      </c>
      <c r="AZ47" s="167">
        <v>-2.1512257795284646</v>
      </c>
      <c r="BA47" s="167"/>
      <c r="BB47" s="167"/>
      <c r="BC47" s="167"/>
      <c r="BD47" s="167"/>
      <c r="BE47" s="167">
        <v>-2.7317657714124399</v>
      </c>
      <c r="BF47" s="167">
        <v>-1.36588288570622</v>
      </c>
      <c r="BG47" s="167">
        <v>-1.5165587122695197</v>
      </c>
      <c r="BH47" s="167">
        <v>7.0000000000000036</v>
      </c>
      <c r="BI47" s="167">
        <v>-0.29130997978796547</v>
      </c>
      <c r="BJ47" s="167">
        <v>9.2194099000282304</v>
      </c>
      <c r="BK47" s="167">
        <v>-1.5125242215019279</v>
      </c>
      <c r="BL47" s="167">
        <v>-0.68294144285310998</v>
      </c>
      <c r="BM47" s="26"/>
      <c r="BN47" s="26"/>
    </row>
    <row r="48" spans="1:66">
      <c r="A48" s="26"/>
      <c r="B48" s="26"/>
      <c r="C48" s="26"/>
      <c r="D48" s="26"/>
      <c r="E48" s="26"/>
      <c r="F48" s="26"/>
      <c r="G48" s="26"/>
      <c r="H48" s="26"/>
      <c r="I48" s="26"/>
      <c r="J48" s="26"/>
      <c r="K48" s="26"/>
      <c r="L48" s="26"/>
      <c r="M48" s="2"/>
      <c r="N48" s="26"/>
      <c r="O48" s="167">
        <v>7.2000000000000037</v>
      </c>
      <c r="P48" s="167">
        <v>1.6027234105384314</v>
      </c>
      <c r="Q48" s="167">
        <v>4.0843825024637409E-3</v>
      </c>
      <c r="R48" s="167">
        <v>0.38910782445664116</v>
      </c>
      <c r="S48" s="167">
        <v>0.60680779304089516</v>
      </c>
      <c r="T48" s="167"/>
      <c r="U48" s="167"/>
      <c r="V48" s="167"/>
      <c r="W48" s="167"/>
      <c r="X48" s="555">
        <v>2.8508762781720431E-2</v>
      </c>
      <c r="Y48" s="555">
        <v>20.020832466252614</v>
      </c>
      <c r="Z48" s="167">
        <v>9.4297815209616029</v>
      </c>
      <c r="AA48" s="167">
        <v>0.36489110158090221</v>
      </c>
      <c r="AB48" s="167">
        <v>0.63840086309358202</v>
      </c>
      <c r="AC48" s="167">
        <v>0.3583071722319337</v>
      </c>
      <c r="AD48" s="167">
        <v>3.2919646744842684E-3</v>
      </c>
      <c r="AE48" s="167"/>
      <c r="AF48" s="167"/>
      <c r="AG48" s="167"/>
      <c r="AH48" s="167"/>
      <c r="AI48" s="167">
        <v>0.67355582292582883</v>
      </c>
      <c r="AJ48" s="167">
        <v>1.3471116458516577</v>
      </c>
      <c r="AK48" s="167">
        <v>0.33677791146291441</v>
      </c>
      <c r="AL48" s="167">
        <v>2.7518681077247944E-2</v>
      </c>
      <c r="AM48" s="167">
        <v>7.2000000000000037</v>
      </c>
      <c r="AN48" s="167">
        <v>-2.3888581274576151</v>
      </c>
      <c r="AO48" s="167">
        <v>-0.409927382124046</v>
      </c>
      <c r="AP48" s="167">
        <v>-0.21694744581821748</v>
      </c>
      <c r="AQ48" s="167"/>
      <c r="AR48" s="167"/>
      <c r="AS48" s="167"/>
      <c r="AT48" s="167"/>
      <c r="AU48" s="167">
        <v>-1.5450116272649377</v>
      </c>
      <c r="AV48" s="167">
        <v>20.020832466252614</v>
      </c>
      <c r="AW48" s="167">
        <v>7.2000000000000037</v>
      </c>
      <c r="AX48" s="167">
        <v>-0.19490527268471336</v>
      </c>
      <c r="AY48" s="167">
        <v>-0.44574161273278612</v>
      </c>
      <c r="AZ48" s="167">
        <v>-2.4825287618085992</v>
      </c>
      <c r="BA48" s="167"/>
      <c r="BB48" s="167"/>
      <c r="BC48" s="167"/>
      <c r="BD48" s="167"/>
      <c r="BE48" s="167">
        <v>-2.6115534165933694</v>
      </c>
      <c r="BF48" s="167">
        <v>-1.3057767082966847</v>
      </c>
      <c r="BG48" s="167">
        <v>-1.5603622830876294</v>
      </c>
      <c r="BH48" s="167">
        <v>7.2000000000000037</v>
      </c>
      <c r="BI48" s="167">
        <v>-0.39727658946156863</v>
      </c>
      <c r="BJ48" s="167">
        <v>9.4297815209616029</v>
      </c>
      <c r="BK48" s="167">
        <v>-1.6351088984190978</v>
      </c>
      <c r="BL48" s="167">
        <v>-0.65288835414834234</v>
      </c>
      <c r="BM48" s="26"/>
      <c r="BN48" s="26"/>
    </row>
    <row r="49" spans="1:66">
      <c r="A49" s="26"/>
      <c r="B49" s="26"/>
      <c r="C49" s="26"/>
      <c r="D49" s="26"/>
      <c r="E49" s="26"/>
      <c r="F49" s="26"/>
      <c r="G49" s="26"/>
      <c r="H49" s="26"/>
      <c r="I49" s="26"/>
      <c r="J49" s="26"/>
      <c r="K49" s="26"/>
      <c r="L49" s="26"/>
      <c r="M49" s="2"/>
      <c r="N49" s="26"/>
      <c r="O49" s="167">
        <v>7.4000000000000039</v>
      </c>
      <c r="P49" s="167">
        <v>1.483519886371194</v>
      </c>
      <c r="Q49" s="167">
        <v>8.3156297417637907E-3</v>
      </c>
      <c r="R49" s="167">
        <v>0.49984885414527863</v>
      </c>
      <c r="S49" s="167">
        <v>0.49183551611295762</v>
      </c>
      <c r="T49" s="167"/>
      <c r="U49" s="167"/>
      <c r="V49" s="167"/>
      <c r="W49" s="167"/>
      <c r="X49" s="555">
        <v>3.0666850693041085E-2</v>
      </c>
      <c r="Y49" s="555">
        <v>20.063731157279108</v>
      </c>
      <c r="Z49" s="167">
        <v>9.6401651822701666</v>
      </c>
      <c r="AA49" s="167">
        <v>0.25945815419193319</v>
      </c>
      <c r="AB49" s="167">
        <v>0.74199393982614659</v>
      </c>
      <c r="AC49" s="167">
        <v>0.2565539661557738</v>
      </c>
      <c r="AD49" s="167">
        <v>1.45209401807968E-3</v>
      </c>
      <c r="AE49" s="167"/>
      <c r="AF49" s="167"/>
      <c r="AG49" s="167"/>
      <c r="AH49" s="167"/>
      <c r="AI49" s="167">
        <v>0.68858322730501187</v>
      </c>
      <c r="AJ49" s="167">
        <v>1.3771664546100237</v>
      </c>
      <c r="AK49" s="167">
        <v>0.34429161365250593</v>
      </c>
      <c r="AL49" s="167">
        <v>2.2584933925320769E-2</v>
      </c>
      <c r="AM49" s="167">
        <v>7.4000000000000039</v>
      </c>
      <c r="AN49" s="167">
        <v>-2.0800913895487723</v>
      </c>
      <c r="AO49" s="167">
        <v>-0.30115934941750055</v>
      </c>
      <c r="AP49" s="167">
        <v>-0.30817811831396918</v>
      </c>
      <c r="AQ49" s="167"/>
      <c r="AR49" s="167"/>
      <c r="AS49" s="167"/>
      <c r="AT49" s="167"/>
      <c r="AU49" s="167">
        <v>-1.5133210239551707</v>
      </c>
      <c r="AV49" s="167">
        <v>20.063731157279108</v>
      </c>
      <c r="AW49" s="167">
        <v>7.4000000000000039</v>
      </c>
      <c r="AX49" s="167">
        <v>-0.12959880274399216</v>
      </c>
      <c r="AY49" s="167">
        <v>-0.5908174420792216</v>
      </c>
      <c r="AZ49" s="167">
        <v>-2.8379868904421914</v>
      </c>
      <c r="BA49" s="167"/>
      <c r="BB49" s="167"/>
      <c r="BC49" s="167"/>
      <c r="BD49" s="167"/>
      <c r="BE49" s="167">
        <v>-2.491334181559905</v>
      </c>
      <c r="BF49" s="167">
        <v>-1.2456670907799525</v>
      </c>
      <c r="BG49" s="167">
        <v>-1.6461705183184192</v>
      </c>
      <c r="BH49" s="167">
        <v>7.4000000000000039</v>
      </c>
      <c r="BI49" s="167">
        <v>-0.51648011362880597</v>
      </c>
      <c r="BJ49" s="167">
        <v>9.6401651822701666</v>
      </c>
      <c r="BK49" s="167">
        <v>-1.7405418458080668</v>
      </c>
      <c r="BL49" s="167">
        <v>-0.62283354538997626</v>
      </c>
      <c r="BM49" s="26"/>
      <c r="BN49" s="26"/>
    </row>
    <row r="50" spans="1:66">
      <c r="A50" s="26"/>
      <c r="B50" s="26"/>
      <c r="C50" s="26"/>
      <c r="D50" s="26"/>
      <c r="E50" s="26"/>
      <c r="F50" s="26"/>
      <c r="G50" s="26"/>
      <c r="H50" s="26"/>
      <c r="I50" s="26"/>
      <c r="J50" s="26"/>
      <c r="K50" s="26"/>
      <c r="L50" s="26"/>
      <c r="M50" s="2"/>
      <c r="N50" s="26"/>
      <c r="O50" s="167">
        <v>7.6000000000000041</v>
      </c>
      <c r="P50" s="167">
        <v>1.360898611746955</v>
      </c>
      <c r="Q50" s="167">
        <v>1.6006919786710573E-2</v>
      </c>
      <c r="R50" s="167">
        <v>0.60708754867962378</v>
      </c>
      <c r="S50" s="167">
        <v>0.37690553153366557</v>
      </c>
      <c r="T50" s="167"/>
      <c r="U50" s="167"/>
      <c r="V50" s="167"/>
      <c r="W50" s="167"/>
      <c r="X50" s="555">
        <v>3.0241835356715201E-2</v>
      </c>
      <c r="Y50" s="555">
        <v>20.121755062427837</v>
      </c>
      <c r="Z50" s="167">
        <v>9.8505773086917063</v>
      </c>
      <c r="AA50" s="167">
        <v>0.17670950564655433</v>
      </c>
      <c r="AB50" s="167">
        <v>0.82390234562165365</v>
      </c>
      <c r="AC50" s="167">
        <v>0.17548580311013856</v>
      </c>
      <c r="AD50" s="167">
        <v>6.118512682078786E-4</v>
      </c>
      <c r="AE50" s="167"/>
      <c r="AF50" s="167"/>
      <c r="AG50" s="167"/>
      <c r="AH50" s="167"/>
      <c r="AI50" s="167">
        <v>0.7036126649065505</v>
      </c>
      <c r="AJ50" s="167">
        <v>1.407225329813101</v>
      </c>
      <c r="AK50" s="167">
        <v>0.35180633245327525</v>
      </c>
      <c r="AL50" s="167">
        <v>1.7100660646200277E-2</v>
      </c>
      <c r="AM50" s="167">
        <v>7.6000000000000041</v>
      </c>
      <c r="AN50" s="167">
        <v>-1.7956806060837094</v>
      </c>
      <c r="AO50" s="167">
        <v>-0.21674727115473441</v>
      </c>
      <c r="AP50" s="167">
        <v>-0.42376474525350022</v>
      </c>
      <c r="AQ50" s="167"/>
      <c r="AR50" s="167"/>
      <c r="AS50" s="167"/>
      <c r="AT50" s="167"/>
      <c r="AU50" s="167">
        <v>-1.5193820188046046</v>
      </c>
      <c r="AV50" s="167">
        <v>20.121755062427837</v>
      </c>
      <c r="AW50" s="167">
        <v>7.6000000000000041</v>
      </c>
      <c r="AX50" s="167">
        <v>-8.4123716099591059E-2</v>
      </c>
      <c r="AY50" s="167">
        <v>-0.75575311965067049</v>
      </c>
      <c r="AZ50" s="167">
        <v>-3.2133333322294901</v>
      </c>
      <c r="BA50" s="167"/>
      <c r="BB50" s="167"/>
      <c r="BC50" s="167"/>
      <c r="BD50" s="167"/>
      <c r="BE50" s="167">
        <v>-2.371098680747596</v>
      </c>
      <c r="BF50" s="167">
        <v>-1.185549340373798</v>
      </c>
      <c r="BG50" s="167">
        <v>-1.7669756718227609</v>
      </c>
      <c r="BH50" s="167">
        <v>7.6000000000000041</v>
      </c>
      <c r="BI50" s="167">
        <v>-0.63910138825304497</v>
      </c>
      <c r="BJ50" s="167">
        <v>9.8505773086917063</v>
      </c>
      <c r="BK50" s="167">
        <v>-1.8232904943534456</v>
      </c>
      <c r="BL50" s="167">
        <v>-0.592774670186899</v>
      </c>
      <c r="BM50" s="26"/>
      <c r="BN50" s="26"/>
    </row>
    <row r="51" spans="1:66">
      <c r="A51" s="26"/>
      <c r="B51" s="26"/>
      <c r="C51" s="26"/>
      <c r="D51" s="26"/>
      <c r="E51" s="26"/>
      <c r="F51" s="26"/>
      <c r="G51" s="26"/>
      <c r="H51" s="26"/>
      <c r="I51" s="26"/>
      <c r="J51" s="26"/>
      <c r="K51" s="26"/>
      <c r="L51" s="26"/>
      <c r="M51" s="2"/>
      <c r="N51" s="26"/>
      <c r="O51" s="167">
        <v>7.8000000000000043</v>
      </c>
      <c r="P51" s="167">
        <v>1.2441110390791297</v>
      </c>
      <c r="Q51" s="167">
        <v>2.9151082998459268E-2</v>
      </c>
      <c r="R51" s="167">
        <v>0.69758679492395181</v>
      </c>
      <c r="S51" s="167">
        <v>0.27326212207758899</v>
      </c>
      <c r="T51" s="167"/>
      <c r="U51" s="167"/>
      <c r="V51" s="167"/>
      <c r="W51" s="167"/>
      <c r="X51" s="555">
        <v>2.7958131039524804E-2</v>
      </c>
      <c r="Y51" s="555">
        <v>20.208536063728388</v>
      </c>
      <c r="Z51" s="167">
        <v>10.061040246754805</v>
      </c>
      <c r="AA51" s="167">
        <v>0.11644494356684276</v>
      </c>
      <c r="AB51" s="167">
        <v>0.88380405694505737</v>
      </c>
      <c r="AC51" s="167">
        <v>0.11594694254304232</v>
      </c>
      <c r="AD51" s="167">
        <v>2.4900051190022634E-4</v>
      </c>
      <c r="AE51" s="167"/>
      <c r="AF51" s="167"/>
      <c r="AG51" s="167"/>
      <c r="AH51" s="167"/>
      <c r="AI51" s="167">
        <v>0.71864573191105752</v>
      </c>
      <c r="AJ51" s="167">
        <v>1.437291463822115</v>
      </c>
      <c r="AK51" s="167">
        <v>0.35932286595552876</v>
      </c>
      <c r="AL51" s="167">
        <v>1.2243955920702515E-2</v>
      </c>
      <c r="AM51" s="167">
        <v>7.8000000000000043</v>
      </c>
      <c r="AN51" s="167">
        <v>-1.5353353662251237</v>
      </c>
      <c r="AO51" s="167">
        <v>-0.15640073649844627</v>
      </c>
      <c r="AP51" s="167">
        <v>-0.56341691579950925</v>
      </c>
      <c r="AQ51" s="167"/>
      <c r="AR51" s="167"/>
      <c r="AS51" s="167"/>
      <c r="AT51" s="167"/>
      <c r="AU51" s="167">
        <v>-1.5534818066232239</v>
      </c>
      <c r="AV51" s="167">
        <v>20.208536063728388</v>
      </c>
      <c r="AW51" s="167">
        <v>7.8000000000000043</v>
      </c>
      <c r="AX51" s="167">
        <v>-5.3643661927008771E-2</v>
      </c>
      <c r="AY51" s="167">
        <v>-0.93573464100654324</v>
      </c>
      <c r="AZ51" s="167">
        <v>-3.6037764291138181</v>
      </c>
      <c r="BA51" s="167"/>
      <c r="BB51" s="167"/>
      <c r="BC51" s="167"/>
      <c r="BD51" s="167"/>
      <c r="BE51" s="167">
        <v>-2.2508341447115399</v>
      </c>
      <c r="BF51" s="167">
        <v>-1.1254170723557699</v>
      </c>
      <c r="BG51" s="167">
        <v>-1.9120658637969039</v>
      </c>
      <c r="BH51" s="167">
        <v>7.8000000000000043</v>
      </c>
      <c r="BI51" s="167">
        <v>-0.75588896092087032</v>
      </c>
      <c r="BJ51" s="167">
        <v>10.061040246754805</v>
      </c>
      <c r="BK51" s="167">
        <v>-1.8835550564331571</v>
      </c>
      <c r="BL51" s="167">
        <v>-0.56270853617788497</v>
      </c>
      <c r="BM51" s="26"/>
      <c r="BN51" s="26"/>
    </row>
    <row r="52" spans="1:66">
      <c r="A52" s="26"/>
      <c r="B52" s="26"/>
      <c r="C52" s="26"/>
      <c r="D52" s="26"/>
      <c r="E52" s="26"/>
      <c r="F52" s="26"/>
      <c r="G52" s="26"/>
      <c r="H52" s="26"/>
      <c r="I52" s="26"/>
      <c r="J52" s="26"/>
      <c r="K52" s="26"/>
      <c r="L52" s="26"/>
      <c r="M52" s="2"/>
      <c r="N52" s="26"/>
      <c r="O52" s="167">
        <v>8.0000000000000036</v>
      </c>
      <c r="P52" s="167">
        <v>1.1377589130568941</v>
      </c>
      <c r="Q52" s="167">
        <v>5.0426878813177402E-2</v>
      </c>
      <c r="R52" s="167">
        <v>0.76138732931675124</v>
      </c>
      <c r="S52" s="167">
        <v>0.18818579187007139</v>
      </c>
      <c r="T52" s="167"/>
      <c r="U52" s="167"/>
      <c r="V52" s="167"/>
      <c r="W52" s="167"/>
      <c r="X52" s="555">
        <v>2.5289591026081599E-2</v>
      </c>
      <c r="Y52" s="555">
        <v>20.344214436772745</v>
      </c>
      <c r="Z52" s="167">
        <v>10.271586190317612</v>
      </c>
      <c r="AA52" s="167">
        <v>7.4941145356730854E-2</v>
      </c>
      <c r="AB52" s="167">
        <v>0.92515770269890385</v>
      </c>
      <c r="AC52" s="167">
        <v>7.4743449245461502E-2</v>
      </c>
      <c r="AD52" s="167">
        <v>9.8848055634678044E-5</v>
      </c>
      <c r="AE52" s="167"/>
      <c r="AF52" s="167"/>
      <c r="AG52" s="167"/>
      <c r="AH52" s="167"/>
      <c r="AI52" s="167">
        <v>0.73368472787982941</v>
      </c>
      <c r="AJ52" s="167">
        <v>1.4673694557596588</v>
      </c>
      <c r="AK52" s="167">
        <v>0.36684236393991471</v>
      </c>
      <c r="AL52" s="167">
        <v>8.5585450790567862E-3</v>
      </c>
      <c r="AM52" s="167">
        <v>8.0000000000000036</v>
      </c>
      <c r="AN52" s="167">
        <v>-1.2973295128457705</v>
      </c>
      <c r="AO52" s="167">
        <v>-0.1183935883213893</v>
      </c>
      <c r="AP52" s="167">
        <v>-0.72540847282474874</v>
      </c>
      <c r="AQ52" s="167"/>
      <c r="AR52" s="167"/>
      <c r="AS52" s="167"/>
      <c r="AT52" s="167"/>
      <c r="AU52" s="167">
        <v>-1.5970478545122377</v>
      </c>
      <c r="AV52" s="167">
        <v>20.344214436772745</v>
      </c>
      <c r="AW52" s="167">
        <v>8.0000000000000036</v>
      </c>
      <c r="AX52" s="167">
        <v>-3.378401224579098E-2</v>
      </c>
      <c r="AY52" s="167">
        <v>-1.1264195718161112</v>
      </c>
      <c r="AZ52" s="167">
        <v>-4.005005940414172</v>
      </c>
      <c r="BA52" s="167"/>
      <c r="BB52" s="167"/>
      <c r="BC52" s="167"/>
      <c r="BD52" s="167"/>
      <c r="BE52" s="167">
        <v>-2.1305221769613647</v>
      </c>
      <c r="BF52" s="167">
        <v>-1.0652610884806823</v>
      </c>
      <c r="BG52" s="167">
        <v>-2.0675866718815641</v>
      </c>
      <c r="BH52" s="167">
        <v>8.0000000000000036</v>
      </c>
      <c r="BI52" s="167">
        <v>-0.86224108694310586</v>
      </c>
      <c r="BJ52" s="167">
        <v>10.271586190317612</v>
      </c>
      <c r="BK52" s="167">
        <v>-1.9250588546432692</v>
      </c>
      <c r="BL52" s="167">
        <v>-0.53263054424034117</v>
      </c>
      <c r="BM52" s="26"/>
      <c r="BN52" s="26"/>
    </row>
    <row r="53" spans="1:66">
      <c r="A53" s="26"/>
      <c r="B53" s="26"/>
      <c r="C53" s="26"/>
      <c r="D53" s="26"/>
      <c r="E53" s="26"/>
      <c r="F53" s="26"/>
      <c r="G53" s="26"/>
      <c r="H53" s="26"/>
      <c r="I53" s="26"/>
      <c r="J53" s="26"/>
      <c r="K53" s="26"/>
      <c r="L53" s="26"/>
      <c r="M53" s="2"/>
      <c r="N53" s="26"/>
      <c r="O53" s="167">
        <v>8.2000000000000028</v>
      </c>
      <c r="P53" s="167">
        <v>1.040431396531537</v>
      </c>
      <c r="Q53" s="167">
        <v>8.3247300072993871E-2</v>
      </c>
      <c r="R53" s="167">
        <v>0.79307400332247535</v>
      </c>
      <c r="S53" s="167">
        <v>0.12367869660453087</v>
      </c>
      <c r="T53" s="167"/>
      <c r="U53" s="167"/>
      <c r="V53" s="167"/>
      <c r="W53" s="167"/>
      <c r="X53" s="555">
        <v>2.3639907334497719E-2</v>
      </c>
      <c r="Y53" s="555">
        <v>20.55962798622204</v>
      </c>
      <c r="Z53" s="167">
        <v>10.482261360601155</v>
      </c>
      <c r="AA53" s="167">
        <v>4.7456032431632975E-2</v>
      </c>
      <c r="AB53" s="167">
        <v>0.95258254245332896</v>
      </c>
      <c r="AC53" s="167">
        <v>4.7378882661709011E-2</v>
      </c>
      <c r="AD53" s="167">
        <v>3.857488496198067E-5</v>
      </c>
      <c r="AE53" s="167"/>
      <c r="AF53" s="167"/>
      <c r="AG53" s="167"/>
      <c r="AH53" s="167"/>
      <c r="AI53" s="167">
        <v>0.74873295432865394</v>
      </c>
      <c r="AJ53" s="167">
        <v>1.4974659086573079</v>
      </c>
      <c r="AK53" s="167">
        <v>0.37436647716432697</v>
      </c>
      <c r="AL53" s="167">
        <v>6.1137449833713444E-3</v>
      </c>
      <c r="AM53" s="167">
        <v>8.2000000000000028</v>
      </c>
      <c r="AN53" s="167">
        <v>-1.0796228533844903</v>
      </c>
      <c r="AO53" s="167">
        <v>-0.10068563406240555</v>
      </c>
      <c r="AP53" s="167">
        <v>-0.90769922376806134</v>
      </c>
      <c r="AQ53" s="167"/>
      <c r="AR53" s="167"/>
      <c r="AS53" s="167"/>
      <c r="AT53" s="167"/>
      <c r="AU53" s="167">
        <v>-1.6263437011692978</v>
      </c>
      <c r="AV53" s="167">
        <v>20.55962798622204</v>
      </c>
      <c r="AW53" s="167">
        <v>8.2000000000000028</v>
      </c>
      <c r="AX53" s="167">
        <v>-2.1097245284582896E-2</v>
      </c>
      <c r="AY53" s="167">
        <v>-1.3244066112298143</v>
      </c>
      <c r="AZ53" s="167">
        <v>-4.4136667862027865</v>
      </c>
      <c r="BA53" s="167"/>
      <c r="BB53" s="167"/>
      <c r="BC53" s="167"/>
      <c r="BD53" s="167"/>
      <c r="BE53" s="167">
        <v>-2.0101363653707685</v>
      </c>
      <c r="BF53" s="167">
        <v>-1.0050681826853842</v>
      </c>
      <c r="BG53" s="167">
        <v>-2.2136783491095224</v>
      </c>
      <c r="BH53" s="167">
        <v>8.2000000000000028</v>
      </c>
      <c r="BI53" s="167">
        <v>-0.95956860346846296</v>
      </c>
      <c r="BJ53" s="167">
        <v>10.482261360601155</v>
      </c>
      <c r="BK53" s="167">
        <v>-1.9525439675683671</v>
      </c>
      <c r="BL53" s="167">
        <v>-0.50253409134269211</v>
      </c>
      <c r="BM53" s="26"/>
      <c r="BN53" s="26"/>
    </row>
    <row r="54" spans="1:66">
      <c r="A54" s="26"/>
      <c r="B54" s="26"/>
      <c r="C54" s="26"/>
      <c r="D54" s="26"/>
      <c r="E54" s="26"/>
      <c r="F54" s="26"/>
      <c r="G54" s="26"/>
      <c r="H54" s="26"/>
      <c r="I54" s="26"/>
      <c r="J54" s="26"/>
      <c r="K54" s="26"/>
      <c r="L54" s="26"/>
      <c r="M54" s="2"/>
      <c r="N54" s="26"/>
      <c r="O54" s="167">
        <v>8.4000000000000021</v>
      </c>
      <c r="P54" s="167">
        <v>0.94626170060337222</v>
      </c>
      <c r="Q54" s="167">
        <v>0.13153714547588519</v>
      </c>
      <c r="R54" s="167">
        <v>0.79066400844485718</v>
      </c>
      <c r="S54" s="167">
        <v>7.7798846079257536E-2</v>
      </c>
      <c r="T54" s="167"/>
      <c r="U54" s="167"/>
      <c r="V54" s="167"/>
      <c r="W54" s="167"/>
      <c r="X54" s="555">
        <v>2.3775842857286345E-2</v>
      </c>
      <c r="Y54" s="555">
        <v>20.902049214055296</v>
      </c>
      <c r="Z54" s="167">
        <v>10.693128606202979</v>
      </c>
      <c r="AA54" s="167">
        <v>2.9726962394642044E-2</v>
      </c>
      <c r="AB54" s="167">
        <v>0.97028791641382295</v>
      </c>
      <c r="AC54" s="167">
        <v>2.9697204777712191E-2</v>
      </c>
      <c r="AD54" s="167">
        <v>1.4878808464927134E-5</v>
      </c>
      <c r="AE54" s="167"/>
      <c r="AF54" s="167"/>
      <c r="AG54" s="167"/>
      <c r="AH54" s="167"/>
      <c r="AI54" s="167">
        <v>0.76379490044306997</v>
      </c>
      <c r="AJ54" s="167">
        <v>1.5275898008861399</v>
      </c>
      <c r="AK54" s="167">
        <v>0.38189745022153498</v>
      </c>
      <c r="AL54" s="167">
        <v>4.7875614122914146E-3</v>
      </c>
      <c r="AM54" s="167">
        <v>8.4000000000000021</v>
      </c>
      <c r="AN54" s="167">
        <v>-0.8809458838491746</v>
      </c>
      <c r="AO54" s="167">
        <v>-0.10200736972938611</v>
      </c>
      <c r="AP54" s="167">
        <v>-1.109019664637338</v>
      </c>
      <c r="AQ54" s="167"/>
      <c r="AR54" s="167"/>
      <c r="AS54" s="167"/>
      <c r="AT54" s="167"/>
      <c r="AU54" s="167">
        <v>-1.6238535654340736</v>
      </c>
      <c r="AV54" s="167">
        <v>20.902049214055296</v>
      </c>
      <c r="AW54" s="167">
        <v>8.4000000000000021</v>
      </c>
      <c r="AX54" s="167">
        <v>-1.3099292313984932E-2</v>
      </c>
      <c r="AY54" s="167">
        <v>-1.5272745387089137</v>
      </c>
      <c r="AZ54" s="167">
        <v>-4.827400594131583</v>
      </c>
      <c r="BA54" s="167"/>
      <c r="BB54" s="167"/>
      <c r="BC54" s="167"/>
      <c r="BD54" s="167"/>
      <c r="BE54" s="167">
        <v>-1.8896407964554403</v>
      </c>
      <c r="BF54" s="167">
        <v>-0.94482039822772013</v>
      </c>
      <c r="BG54" s="167">
        <v>-2.319870623175964</v>
      </c>
      <c r="BH54" s="167">
        <v>8.4000000000000021</v>
      </c>
      <c r="BI54" s="167">
        <v>-1.0537382993966278</v>
      </c>
      <c r="BJ54" s="167">
        <v>10.693128606202979</v>
      </c>
      <c r="BK54" s="167">
        <v>-1.9702730376053579</v>
      </c>
      <c r="BL54" s="167">
        <v>-0.47241019911386006</v>
      </c>
      <c r="BM54" s="26"/>
      <c r="BN54" s="26"/>
    </row>
    <row r="55" spans="1:66">
      <c r="A55" s="26"/>
      <c r="B55" s="26"/>
      <c r="C55" s="26"/>
      <c r="D55" s="26"/>
      <c r="E55" s="26"/>
      <c r="F55" s="26"/>
      <c r="G55" s="26"/>
      <c r="H55" s="26"/>
      <c r="I55" s="26"/>
      <c r="J55" s="26"/>
      <c r="K55" s="26"/>
      <c r="L55" s="26"/>
      <c r="M55" s="2"/>
      <c r="N55" s="26"/>
      <c r="O55" s="167">
        <v>8.6000000000000014</v>
      </c>
      <c r="P55" s="167">
        <v>0.8479479961486619</v>
      </c>
      <c r="Q55" s="167">
        <v>0.19888144984365386</v>
      </c>
      <c r="R55" s="167">
        <v>0.75428910416403039</v>
      </c>
      <c r="S55" s="167">
        <v>4.6829445992315755E-2</v>
      </c>
      <c r="T55" s="167"/>
      <c r="U55" s="167"/>
      <c r="V55" s="167"/>
      <c r="W55" s="167"/>
      <c r="X55" s="555">
        <v>2.5638728554327986E-2</v>
      </c>
      <c r="Y55" s="555">
        <v>21.442285725788679</v>
      </c>
      <c r="Z55" s="167">
        <v>10.904263374595613</v>
      </c>
      <c r="AA55" s="167">
        <v>1.8486158633511596E-2</v>
      </c>
      <c r="AB55" s="167">
        <v>0.98151953378655099</v>
      </c>
      <c r="AC55" s="167">
        <v>1.8474773793386322E-2</v>
      </c>
      <c r="AD55" s="167">
        <v>5.6924200626363564E-6</v>
      </c>
      <c r="AE55" s="167"/>
      <c r="AF55" s="167"/>
      <c r="AG55" s="167"/>
      <c r="AH55" s="167"/>
      <c r="AI55" s="167">
        <v>0.77887595532825815</v>
      </c>
      <c r="AJ55" s="167">
        <v>1.5577519106565163</v>
      </c>
      <c r="AK55" s="167">
        <v>0.38943797766412908</v>
      </c>
      <c r="AL55" s="167">
        <v>4.4698599914085218E-3</v>
      </c>
      <c r="AM55" s="167">
        <v>8.6000000000000014</v>
      </c>
      <c r="AN55" s="167">
        <v>-0.70140118179614397</v>
      </c>
      <c r="AO55" s="167">
        <v>-0.12246137287865171</v>
      </c>
      <c r="AP55" s="167">
        <v>-1.3294723729889</v>
      </c>
      <c r="AQ55" s="167"/>
      <c r="AR55" s="167"/>
      <c r="AS55" s="167"/>
      <c r="AT55" s="167"/>
      <c r="AU55" s="167">
        <v>-1.5910932148544925</v>
      </c>
      <c r="AV55" s="167">
        <v>21.442285725788679</v>
      </c>
      <c r="AW55" s="167">
        <v>8.6000000000000014</v>
      </c>
      <c r="AX55" s="167">
        <v>-8.1010003867847107E-3</v>
      </c>
      <c r="AY55" s="167">
        <v>-1.7334096482902823</v>
      </c>
      <c r="AZ55" s="167">
        <v>-5.2446691052215204</v>
      </c>
      <c r="BA55" s="167"/>
      <c r="BB55" s="167"/>
      <c r="BC55" s="167"/>
      <c r="BD55" s="167"/>
      <c r="BE55" s="167">
        <v>-1.7689923573739348</v>
      </c>
      <c r="BF55" s="167">
        <v>-0.88449617868696739</v>
      </c>
      <c r="BG55" s="167">
        <v>-2.3496908680099642</v>
      </c>
      <c r="BH55" s="167">
        <v>8.6000000000000014</v>
      </c>
      <c r="BI55" s="167">
        <v>-1.1520520038513382</v>
      </c>
      <c r="BJ55" s="167">
        <v>10.904263374595613</v>
      </c>
      <c r="BK55" s="167">
        <v>-1.9815138413664883</v>
      </c>
      <c r="BL55" s="167">
        <v>-0.4422480893434837</v>
      </c>
      <c r="BM55" s="26"/>
      <c r="BN55" s="26"/>
    </row>
    <row r="56" spans="1:66">
      <c r="A56" s="26"/>
      <c r="B56" s="26"/>
      <c r="C56" s="26"/>
      <c r="D56" s="26"/>
      <c r="E56" s="26"/>
      <c r="F56" s="26"/>
      <c r="G56" s="26"/>
      <c r="H56" s="26"/>
      <c r="I56" s="26"/>
      <c r="J56" s="26"/>
      <c r="K56" s="26"/>
      <c r="L56" s="26"/>
      <c r="M56" s="2"/>
      <c r="N56" s="26"/>
      <c r="O56" s="167">
        <v>8.8000000000000007</v>
      </c>
      <c r="P56" s="167">
        <v>0.74008419703501827</v>
      </c>
      <c r="Q56" s="167">
        <v>0.2868004658486133</v>
      </c>
      <c r="R56" s="167">
        <v>0.68631487126775492</v>
      </c>
      <c r="S56" s="167">
        <v>2.6884662883631682E-2</v>
      </c>
      <c r="T56" s="167"/>
      <c r="U56" s="167"/>
      <c r="V56" s="167"/>
      <c r="W56" s="167"/>
      <c r="X56" s="555">
        <v>2.8355542444628973E-2</v>
      </c>
      <c r="Y56" s="555">
        <v>22.281442677194718</v>
      </c>
      <c r="Z56" s="167">
        <v>11.115733453073027</v>
      </c>
      <c r="AA56" s="167">
        <v>1.1438762993879411E-2</v>
      </c>
      <c r="AB56" s="167">
        <v>0.98856340202837445</v>
      </c>
      <c r="AC56" s="167">
        <v>1.1434432949371586E-2</v>
      </c>
      <c r="AD56" s="167">
        <v>2.1650222539122115E-6</v>
      </c>
      <c r="AE56" s="167"/>
      <c r="AF56" s="167"/>
      <c r="AG56" s="167"/>
      <c r="AH56" s="167"/>
      <c r="AI56" s="167">
        <v>0.79398096093378767</v>
      </c>
      <c r="AJ56" s="167">
        <v>1.5879619218675753</v>
      </c>
      <c r="AK56" s="167">
        <v>0.39699048046689384</v>
      </c>
      <c r="AL56" s="167">
        <v>5.1746949005550755E-3</v>
      </c>
      <c r="AM56" s="167">
        <v>8.8000000000000007</v>
      </c>
      <c r="AN56" s="167">
        <v>-0.5424166359594268</v>
      </c>
      <c r="AO56" s="167">
        <v>-0.16347553224423086</v>
      </c>
      <c r="AP56" s="167">
        <v>-1.5704852375567755</v>
      </c>
      <c r="AQ56" s="167"/>
      <c r="AR56" s="167"/>
      <c r="AS56" s="167"/>
      <c r="AT56" s="167"/>
      <c r="AU56" s="167">
        <v>-1.5473520225934883</v>
      </c>
      <c r="AV56" s="167">
        <v>22.281442677194718</v>
      </c>
      <c r="AW56" s="167">
        <v>8.8000000000000007</v>
      </c>
      <c r="AX56" s="167">
        <v>-4.9954394137741954E-3</v>
      </c>
      <c r="AY56" s="167">
        <v>-1.9417727967398257</v>
      </c>
      <c r="AZ56" s="167">
        <v>-5.6645009630936176</v>
      </c>
      <c r="BA56" s="167"/>
      <c r="BB56" s="167"/>
      <c r="BC56" s="167"/>
      <c r="BD56" s="167"/>
      <c r="BE56" s="167">
        <v>-1.6481523125296986</v>
      </c>
      <c r="BF56" s="167">
        <v>-0.82407615626484931</v>
      </c>
      <c r="BG56" s="167">
        <v>-2.2861004507874494</v>
      </c>
      <c r="BH56" s="167">
        <v>8.8000000000000007</v>
      </c>
      <c r="BI56" s="167">
        <v>-1.2599158029649817</v>
      </c>
      <c r="BJ56" s="167">
        <v>11.115733453073027</v>
      </c>
      <c r="BK56" s="167">
        <v>-1.9885612370061205</v>
      </c>
      <c r="BL56" s="167">
        <v>-0.41203807813242466</v>
      </c>
      <c r="BM56" s="26"/>
      <c r="BN56" s="26"/>
    </row>
    <row r="57" spans="1:66">
      <c r="A57" s="26"/>
      <c r="B57" s="26"/>
      <c r="C57" s="26"/>
      <c r="D57" s="26"/>
      <c r="E57" s="26"/>
      <c r="F57" s="26"/>
      <c r="G57" s="26"/>
      <c r="H57" s="26"/>
      <c r="I57" s="26"/>
      <c r="J57" s="26"/>
      <c r="K57" s="26"/>
      <c r="L57" s="26"/>
      <c r="M57" s="2"/>
      <c r="N57" s="26"/>
      <c r="O57" s="167">
        <v>9</v>
      </c>
      <c r="P57" s="167">
        <v>0.62206323704443522</v>
      </c>
      <c r="Q57" s="167">
        <v>0.39258756085473651</v>
      </c>
      <c r="R57" s="167">
        <v>0.59276164124609143</v>
      </c>
      <c r="S57" s="167">
        <v>1.4650797899171925E-2</v>
      </c>
      <c r="T57" s="167"/>
      <c r="U57" s="167"/>
      <c r="V57" s="167"/>
      <c r="W57" s="167"/>
      <c r="X57" s="555">
        <v>3.047028837181652E-2</v>
      </c>
      <c r="Y57" s="555">
        <v>23.553723619261291</v>
      </c>
      <c r="Z57" s="167">
        <v>11.327553158845967</v>
      </c>
      <c r="AA57" s="167">
        <v>7.0537081226805807E-3</v>
      </c>
      <c r="AB57" s="167">
        <v>0.99294711174646322</v>
      </c>
      <c r="AC57" s="167">
        <v>7.0520683843928794E-3</v>
      </c>
      <c r="AD57" s="167">
        <v>8.1986914385096695E-7</v>
      </c>
      <c r="AE57" s="167"/>
      <c r="AF57" s="167"/>
      <c r="AG57" s="167"/>
      <c r="AH57" s="167"/>
      <c r="AI57" s="167">
        <v>0.80911093991756911</v>
      </c>
      <c r="AJ57" s="167">
        <v>1.6182218798351382</v>
      </c>
      <c r="AK57" s="167">
        <v>0.40455546995878455</v>
      </c>
      <c r="AL57" s="167">
        <v>7.1130840521927505E-3</v>
      </c>
      <c r="AM57" s="167">
        <v>9</v>
      </c>
      <c r="AN57" s="167">
        <v>-0.40606083629775369</v>
      </c>
      <c r="AO57" s="167">
        <v>-0.2271184377848541</v>
      </c>
      <c r="AP57" s="167">
        <v>-1.8341268482996949</v>
      </c>
      <c r="AQ57" s="167"/>
      <c r="AR57" s="167"/>
      <c r="AS57" s="167"/>
      <c r="AT57" s="167"/>
      <c r="AU57" s="167">
        <v>-1.5161136202148331</v>
      </c>
      <c r="AV57" s="167">
        <v>23.553723619261291</v>
      </c>
      <c r="AW57" s="167">
        <v>9</v>
      </c>
      <c r="AX57" s="167">
        <v>-3.0738632139714751E-3</v>
      </c>
      <c r="AY57" s="167">
        <v>-2.1516695549946214</v>
      </c>
      <c r="AZ57" s="167">
        <v>-6.0862160558030123</v>
      </c>
      <c r="BA57" s="167"/>
      <c r="BB57" s="167"/>
      <c r="BC57" s="167"/>
      <c r="BD57" s="167"/>
      <c r="BE57" s="167">
        <v>-1.5271124806594472</v>
      </c>
      <c r="BF57" s="167">
        <v>-0.76355624032972358</v>
      </c>
      <c r="BG57" s="167">
        <v>-2.1479281536522978</v>
      </c>
      <c r="BH57" s="167">
        <v>9</v>
      </c>
      <c r="BI57" s="167">
        <v>-1.3779367629555648</v>
      </c>
      <c r="BJ57" s="167">
        <v>11.327553158845967</v>
      </c>
      <c r="BK57" s="167">
        <v>-1.9929462918773193</v>
      </c>
      <c r="BL57" s="167">
        <v>-0.38177812016486179</v>
      </c>
      <c r="BM57" s="26"/>
      <c r="BN57" s="26"/>
    </row>
    <row r="58" spans="1:66">
      <c r="A58" s="26"/>
      <c r="B58" s="26"/>
      <c r="C58" s="26"/>
      <c r="D58" s="26"/>
      <c r="E58" s="26"/>
      <c r="F58" s="26"/>
      <c r="G58" s="26"/>
      <c r="H58" s="26"/>
      <c r="I58" s="26"/>
      <c r="J58" s="26"/>
      <c r="K58" s="26"/>
      <c r="L58" s="26"/>
      <c r="M58" s="2"/>
      <c r="N58" s="26"/>
      <c r="O58" s="167">
        <v>9.1999999999999993</v>
      </c>
      <c r="P58" s="167">
        <v>0.49929929556690156</v>
      </c>
      <c r="Q58" s="167">
        <v>0.50825168883341554</v>
      </c>
      <c r="R58" s="167">
        <v>0.48419732676626731</v>
      </c>
      <c r="S58" s="167">
        <v>7.5509844003171156E-3</v>
      </c>
      <c r="T58" s="167"/>
      <c r="U58" s="167"/>
      <c r="V58" s="167"/>
      <c r="W58" s="167"/>
      <c r="X58" s="555">
        <v>3.0568150094177304E-2</v>
      </c>
      <c r="Y58" s="555">
        <v>25.425947584153619</v>
      </c>
      <c r="Z58" s="167">
        <v>11.539624057245398</v>
      </c>
      <c r="AA58" s="167">
        <v>4.3400291471261138E-3</v>
      </c>
      <c r="AB58" s="167">
        <v>0.99566028044350563</v>
      </c>
      <c r="AC58" s="167">
        <v>4.339409965862526E-3</v>
      </c>
      <c r="AD58" s="167">
        <v>3.0959063179391627E-7</v>
      </c>
      <c r="AE58" s="167"/>
      <c r="AF58" s="167"/>
      <c r="AG58" s="167"/>
      <c r="AH58" s="167"/>
      <c r="AI58" s="167">
        <v>0.82425886123181413</v>
      </c>
      <c r="AJ58" s="167">
        <v>1.6485177224636283</v>
      </c>
      <c r="AK58" s="167">
        <v>0.41212943061590707</v>
      </c>
      <c r="AL58" s="167">
        <v>1.077445232508277E-2</v>
      </c>
      <c r="AM58" s="167">
        <v>9.1999999999999993</v>
      </c>
      <c r="AN58" s="167">
        <v>-0.29391926675898117</v>
      </c>
      <c r="AO58" s="167">
        <v>-0.31497557344837807</v>
      </c>
      <c r="AP58" s="167">
        <v>-2.1219826891655154</v>
      </c>
      <c r="AQ58" s="167"/>
      <c r="AR58" s="167"/>
      <c r="AS58" s="167"/>
      <c r="AT58" s="167"/>
      <c r="AU58" s="167">
        <v>-1.5147210365136357</v>
      </c>
      <c r="AV58" s="167">
        <v>25.425947584153619</v>
      </c>
      <c r="AW58" s="167">
        <v>9.1999999999999993</v>
      </c>
      <c r="AX58" s="167">
        <v>-1.8888054685757697E-3</v>
      </c>
      <c r="AY58" s="167">
        <v>-2.3625540227040953</v>
      </c>
      <c r="AZ58" s="167">
        <v>-6.5091700489673556</v>
      </c>
      <c r="BA58" s="167"/>
      <c r="BB58" s="167"/>
      <c r="BC58" s="167"/>
      <c r="BD58" s="167"/>
      <c r="BE58" s="167">
        <v>-1.4059291101454869</v>
      </c>
      <c r="BF58" s="167">
        <v>-0.70296455507274347</v>
      </c>
      <c r="BG58" s="167">
        <v>-1.9675920579269999</v>
      </c>
      <c r="BH58" s="167">
        <v>9.1999999999999993</v>
      </c>
      <c r="BI58" s="167">
        <v>-1.5007007044330984</v>
      </c>
      <c r="BJ58" s="167">
        <v>11.539624057245398</v>
      </c>
      <c r="BK58" s="167">
        <v>-1.9956599708528739</v>
      </c>
      <c r="BL58" s="167">
        <v>-0.35148227753637173</v>
      </c>
      <c r="BM58" s="26"/>
      <c r="BN58" s="26"/>
    </row>
    <row r="59" spans="1:66">
      <c r="A59" s="26"/>
      <c r="B59" s="26"/>
      <c r="C59" s="26"/>
      <c r="D59" s="26"/>
      <c r="E59" s="26"/>
      <c r="F59" s="26"/>
      <c r="G59" s="26"/>
      <c r="H59" s="26"/>
      <c r="I59" s="26"/>
      <c r="J59" s="26"/>
      <c r="K59" s="26"/>
      <c r="L59" s="26"/>
      <c r="M59" s="2"/>
      <c r="N59" s="26"/>
      <c r="O59" s="167">
        <v>9.3999999999999986</v>
      </c>
      <c r="P59" s="167">
        <v>0.38140690883684342</v>
      </c>
      <c r="Q59" s="167">
        <v>0.62227358511736119</v>
      </c>
      <c r="R59" s="167">
        <v>0.37404592092843403</v>
      </c>
      <c r="S59" s="167">
        <v>3.6804939542047126E-3</v>
      </c>
      <c r="T59" s="167"/>
      <c r="U59" s="167"/>
      <c r="V59" s="167"/>
      <c r="W59" s="167"/>
      <c r="X59" s="555">
        <v>2.8085260306165132E-2</v>
      </c>
      <c r="Y59" s="555">
        <v>28.122492051625159</v>
      </c>
      <c r="Z59" s="167">
        <v>11.751718173325493</v>
      </c>
      <c r="AA59" s="167">
        <v>2.6674938868304927E-3</v>
      </c>
      <c r="AB59" s="167">
        <v>0.99733262288240088</v>
      </c>
      <c r="AC59" s="167">
        <v>2.6672603483679572E-3</v>
      </c>
      <c r="AD59" s="167">
        <v>1.1676923126781954E-7</v>
      </c>
      <c r="AE59" s="167"/>
      <c r="AF59" s="167"/>
      <c r="AG59" s="167"/>
      <c r="AH59" s="167"/>
      <c r="AI59" s="167">
        <v>0.83940844095182088</v>
      </c>
      <c r="AJ59" s="167">
        <v>1.6788168819036418</v>
      </c>
      <c r="AK59" s="167">
        <v>0.41970422047591044</v>
      </c>
      <c r="AL59" s="167">
        <v>1.7054028407583171E-2</v>
      </c>
      <c r="AM59" s="167">
        <v>9.3999999999999986</v>
      </c>
      <c r="AN59" s="167">
        <v>-0.20601730022232662</v>
      </c>
      <c r="AO59" s="167">
        <v>-0.4270723121140198</v>
      </c>
      <c r="AP59" s="167">
        <v>-2.4340781330334536</v>
      </c>
      <c r="AQ59" s="167"/>
      <c r="AR59" s="167"/>
      <c r="AS59" s="167"/>
      <c r="AT59" s="167"/>
      <c r="AU59" s="167">
        <v>-1.5515115020101162</v>
      </c>
      <c r="AV59" s="167">
        <v>28.122492051625159</v>
      </c>
      <c r="AW59" s="167">
        <v>9.3999999999999986</v>
      </c>
      <c r="AX59" s="167">
        <v>-1.1599673875907599E-3</v>
      </c>
      <c r="AY59" s="167">
        <v>-2.5739179276083339</v>
      </c>
      <c r="AZ59" s="167">
        <v>-6.9326266968568184</v>
      </c>
      <c r="BA59" s="167"/>
      <c r="BB59" s="167"/>
      <c r="BC59" s="167"/>
      <c r="BD59" s="167"/>
      <c r="BE59" s="167">
        <v>-1.284732472385433</v>
      </c>
      <c r="BF59" s="167">
        <v>-0.64236623619271649</v>
      </c>
      <c r="BG59" s="167">
        <v>-1.7681615707984655</v>
      </c>
      <c r="BH59" s="167">
        <v>9.3999999999999986</v>
      </c>
      <c r="BI59" s="167">
        <v>-1.6185930911631565</v>
      </c>
      <c r="BJ59" s="167">
        <v>11.751718173325493</v>
      </c>
      <c r="BK59" s="167">
        <v>-1.9973325061131695</v>
      </c>
      <c r="BL59" s="167">
        <v>-0.32118311809635824</v>
      </c>
      <c r="BM59" s="26"/>
      <c r="BN59" s="26"/>
    </row>
    <row r="60" spans="1:66">
      <c r="A60" s="26"/>
      <c r="B60" s="26"/>
      <c r="C60" s="26"/>
      <c r="D60" s="26"/>
      <c r="E60" s="26"/>
      <c r="F60" s="26"/>
      <c r="G60" s="26"/>
      <c r="H60" s="26"/>
      <c r="I60" s="26"/>
      <c r="J60" s="26"/>
      <c r="K60" s="26"/>
      <c r="L60" s="26"/>
      <c r="M60" s="2"/>
      <c r="N60" s="26"/>
      <c r="O60" s="167">
        <v>9.5999999999999979</v>
      </c>
      <c r="P60" s="167">
        <v>0.27791641754004487</v>
      </c>
      <c r="Q60" s="167">
        <v>0.72378784315080236</v>
      </c>
      <c r="R60" s="167">
        <v>0.27450789615835025</v>
      </c>
      <c r="S60" s="167">
        <v>1.7042606908472969E-3</v>
      </c>
      <c r="T60" s="167"/>
      <c r="U60" s="167"/>
      <c r="V60" s="167"/>
      <c r="W60" s="167"/>
      <c r="X60" s="555">
        <v>2.3614680115898717E-2</v>
      </c>
      <c r="Y60" s="555">
        <v>32.065280988172162</v>
      </c>
      <c r="Z60" s="167">
        <v>11.963554366049292</v>
      </c>
      <c r="AA60" s="167">
        <v>1.6394567558196045E-3</v>
      </c>
      <c r="AB60" s="167">
        <v>0.99836058731016109</v>
      </c>
      <c r="AC60" s="167">
        <v>1.6393686238585072E-3</v>
      </c>
      <c r="AD60" s="167">
        <v>4.4065980548669806E-8</v>
      </c>
      <c r="AE60" s="167"/>
      <c r="AF60" s="167"/>
      <c r="AG60" s="167"/>
      <c r="AH60" s="167"/>
      <c r="AI60" s="167">
        <v>0.85453959757494946</v>
      </c>
      <c r="AJ60" s="167">
        <v>1.7090791951498989</v>
      </c>
      <c r="AK60" s="167">
        <v>0.42726979878747473</v>
      </c>
      <c r="AL60" s="167">
        <v>2.7465142158123759E-2</v>
      </c>
      <c r="AM60" s="167">
        <v>9.5999999999999979</v>
      </c>
      <c r="AN60" s="167">
        <v>-0.14038780676689969</v>
      </c>
      <c r="AO60" s="167">
        <v>-0.56144152386088919</v>
      </c>
      <c r="AP60" s="167">
        <v>-2.7684460499826193</v>
      </c>
      <c r="AQ60" s="167"/>
      <c r="AR60" s="167"/>
      <c r="AS60" s="167"/>
      <c r="AT60" s="167"/>
      <c r="AU60" s="167">
        <v>-1.6268074009933351</v>
      </c>
      <c r="AV60" s="167">
        <v>32.065280988172162</v>
      </c>
      <c r="AW60" s="167">
        <v>9.5999999999999979</v>
      </c>
      <c r="AX60" s="167">
        <v>-7.1256753121106135E-4</v>
      </c>
      <c r="AY60" s="167">
        <v>-2.7853053490506752</v>
      </c>
      <c r="AZ60" s="167">
        <v>-7.3558489395978803</v>
      </c>
      <c r="BA60" s="167"/>
      <c r="BB60" s="167"/>
      <c r="BC60" s="167"/>
      <c r="BD60" s="167"/>
      <c r="BE60" s="167">
        <v>-1.1636832194004043</v>
      </c>
      <c r="BF60" s="167">
        <v>-0.58184160970020216</v>
      </c>
      <c r="BG60" s="167">
        <v>-1.5612080414431631</v>
      </c>
      <c r="BH60" s="167">
        <v>9.5999999999999979</v>
      </c>
      <c r="BI60" s="167">
        <v>-1.7220835824599552</v>
      </c>
      <c r="BJ60" s="167">
        <v>11.963554366049292</v>
      </c>
      <c r="BK60" s="167">
        <v>-1.9983605432441804</v>
      </c>
      <c r="BL60" s="167">
        <v>-0.29092080485010108</v>
      </c>
      <c r="BM60" s="26"/>
      <c r="BN60" s="26"/>
    </row>
    <row r="61" spans="1:66">
      <c r="A61" s="26"/>
      <c r="B61" s="26"/>
      <c r="C61" s="26"/>
      <c r="D61" s="26"/>
      <c r="E61" s="26"/>
      <c r="F61" s="26"/>
      <c r="G61" s="26"/>
      <c r="H61" s="26"/>
      <c r="I61" s="26"/>
      <c r="J61" s="26"/>
      <c r="K61" s="26"/>
      <c r="L61" s="26"/>
      <c r="M61" s="2"/>
      <c r="N61" s="26"/>
      <c r="O61" s="167">
        <v>9.7999999999999972</v>
      </c>
      <c r="P61" s="167">
        <v>0.19445888359376903</v>
      </c>
      <c r="Q61" s="167">
        <v>0.80629693879722775</v>
      </c>
      <c r="R61" s="167">
        <v>0.19294723881177553</v>
      </c>
      <c r="S61" s="167">
        <v>7.558223909967485E-4</v>
      </c>
      <c r="T61" s="167"/>
      <c r="U61" s="167"/>
      <c r="V61" s="167"/>
      <c r="W61" s="167"/>
      <c r="X61" s="555">
        <v>1.8395702406373473E-2</v>
      </c>
      <c r="Y61" s="555">
        <v>38.31748273660196</v>
      </c>
      <c r="Z61" s="167">
        <v>12.174908797581793</v>
      </c>
      <c r="AA61" s="167">
        <v>1.0083492418952783E-3</v>
      </c>
      <c r="AB61" s="167">
        <v>0.99899166741787515</v>
      </c>
      <c r="AC61" s="167">
        <v>1.008315922354364E-3</v>
      </c>
      <c r="AD61" s="167">
        <v>1.6659770457196745E-8</v>
      </c>
      <c r="AE61" s="167"/>
      <c r="AF61" s="167"/>
      <c r="AG61" s="167"/>
      <c r="AH61" s="167"/>
      <c r="AI61" s="167">
        <v>0.86963634268441381</v>
      </c>
      <c r="AJ61" s="167">
        <v>1.7392726853688276</v>
      </c>
      <c r="AK61" s="167">
        <v>0.43481817134220691</v>
      </c>
      <c r="AL61" s="167">
        <v>4.4491769515982049E-2</v>
      </c>
      <c r="AM61" s="167">
        <v>9.7999999999999972</v>
      </c>
      <c r="AN61" s="167">
        <v>-9.3504383698239907E-2</v>
      </c>
      <c r="AO61" s="167">
        <v>-0.71455680599452576</v>
      </c>
      <c r="AP61" s="167">
        <v>-3.1215600373185519</v>
      </c>
      <c r="AQ61" s="167"/>
      <c r="AR61" s="167"/>
      <c r="AS61" s="167"/>
      <c r="AT61" s="167"/>
      <c r="AU61" s="167">
        <v>-1.7352723905666319</v>
      </c>
      <c r="AV61" s="167">
        <v>38.31748273660196</v>
      </c>
      <c r="AW61" s="167">
        <v>9.7999999999999972</v>
      </c>
      <c r="AX61" s="167">
        <v>-4.3813136950278928E-4</v>
      </c>
      <c r="AY61" s="167">
        <v>-2.9963839761153048</v>
      </c>
      <c r="AZ61" s="167">
        <v>-7.7782806298888474</v>
      </c>
      <c r="BA61" s="167"/>
      <c r="BB61" s="167"/>
      <c r="BC61" s="167"/>
      <c r="BD61" s="167"/>
      <c r="BE61" s="167">
        <v>-1.0429092585246895</v>
      </c>
      <c r="BF61" s="167">
        <v>-0.52145462926234476</v>
      </c>
      <c r="BG61" s="167">
        <v>-1.3517115702306977</v>
      </c>
      <c r="BH61" s="167">
        <v>9.7999999999999972</v>
      </c>
      <c r="BI61" s="167">
        <v>-1.8055411164062309</v>
      </c>
      <c r="BJ61" s="167">
        <v>12.174908797581793</v>
      </c>
      <c r="BK61" s="167">
        <v>-1.9989916507581047</v>
      </c>
      <c r="BL61" s="167">
        <v>-0.26072731463117238</v>
      </c>
      <c r="BM61" s="26"/>
      <c r="BN61" s="26"/>
    </row>
    <row r="62" spans="1:66">
      <c r="A62" s="26"/>
      <c r="B62" s="26"/>
      <c r="C62" s="26"/>
      <c r="D62" s="26"/>
      <c r="E62" s="26"/>
      <c r="F62" s="26"/>
      <c r="G62" s="26"/>
      <c r="H62" s="26"/>
      <c r="I62" s="26"/>
      <c r="J62" s="26"/>
      <c r="K62" s="26"/>
      <c r="L62" s="26"/>
      <c r="M62" s="2"/>
      <c r="N62" s="26"/>
      <c r="O62" s="167">
        <v>9.9999999999999964</v>
      </c>
      <c r="P62" s="167">
        <v>0.13178723785238644</v>
      </c>
      <c r="Q62" s="167">
        <v>0.86853688750653046</v>
      </c>
      <c r="R62" s="167">
        <v>0.13113898713455269</v>
      </c>
      <c r="S62" s="167">
        <v>3.241253589168752E-4</v>
      </c>
      <c r="T62" s="167"/>
      <c r="U62" s="167"/>
      <c r="V62" s="167"/>
      <c r="W62" s="167"/>
      <c r="X62" s="555">
        <v>1.3544379715458937E-2</v>
      </c>
      <c r="Y62" s="555">
        <v>49.999999998544808</v>
      </c>
      <c r="Z62" s="167">
        <v>12.385643935645515</v>
      </c>
      <c r="AA62" s="167">
        <v>6.2092437679596804E-4</v>
      </c>
      <c r="AB62" s="167">
        <v>0.99937908193811331</v>
      </c>
      <c r="AC62" s="167">
        <v>6.2091174697710379E-4</v>
      </c>
      <c r="AD62" s="167">
        <v>6.3149094321245938E-9</v>
      </c>
      <c r="AE62" s="167"/>
      <c r="AF62" s="167"/>
      <c r="AG62" s="167"/>
      <c r="AH62" s="167"/>
      <c r="AI62" s="167">
        <v>0.88468885254610818</v>
      </c>
      <c r="AJ62" s="167">
        <v>1.7693777050922164</v>
      </c>
      <c r="AK62" s="167">
        <v>0.44234442627305409</v>
      </c>
      <c r="AL62" s="167">
        <v>7.2162477370993058E-2</v>
      </c>
      <c r="AM62" s="167">
        <v>9.9999999999999964</v>
      </c>
      <c r="AN62" s="167">
        <v>-6.1211335682009468E-2</v>
      </c>
      <c r="AO62" s="167">
        <v>-0.88226246318059154</v>
      </c>
      <c r="AP62" s="167">
        <v>-3.4892643997069142</v>
      </c>
      <c r="AQ62" s="167"/>
      <c r="AR62" s="167"/>
      <c r="AS62" s="167"/>
      <c r="AT62" s="167"/>
      <c r="AU62" s="167">
        <v>-1.8682287843519774</v>
      </c>
      <c r="AV62" s="167">
        <v>49.999999998544808</v>
      </c>
      <c r="AW62" s="167">
        <v>9.9999999999999964</v>
      </c>
      <c r="AX62" s="167">
        <v>-2.6974329511845216E-4</v>
      </c>
      <c r="AY62" s="167">
        <v>-3.2069493618077791</v>
      </c>
      <c r="AZ62" s="167">
        <v>-8.1995797893481797</v>
      </c>
      <c r="BA62" s="167"/>
      <c r="BB62" s="167"/>
      <c r="BC62" s="167"/>
      <c r="BD62" s="167"/>
      <c r="BE62" s="167">
        <v>-0.92248917963113453</v>
      </c>
      <c r="BF62" s="167">
        <v>-0.46124458981556726</v>
      </c>
      <c r="BG62" s="167">
        <v>-1.1416811744024822</v>
      </c>
      <c r="BH62" s="167">
        <v>9.9999999999999964</v>
      </c>
      <c r="BI62" s="167">
        <v>-1.8682127621476137</v>
      </c>
      <c r="BJ62" s="167">
        <v>12.385643935645515</v>
      </c>
      <c r="BK62" s="167">
        <v>-1.9993790756232039</v>
      </c>
      <c r="BL62" s="167">
        <v>-0.23062229490778363</v>
      </c>
      <c r="BM62" s="26"/>
      <c r="BN62" s="26"/>
    </row>
    <row r="63" spans="1:66">
      <c r="A63" s="26"/>
      <c r="B63" s="26"/>
      <c r="C63" s="26"/>
      <c r="D63" s="26"/>
      <c r="E63" s="26"/>
      <c r="F63" s="26"/>
      <c r="G63" s="26"/>
      <c r="H63" s="26"/>
      <c r="I63" s="26"/>
      <c r="J63" s="26"/>
      <c r="K63" s="26"/>
      <c r="L63" s="26"/>
      <c r="M63" s="2"/>
      <c r="N63" s="26"/>
      <c r="O63" s="167">
        <v>10.199999999999996</v>
      </c>
      <c r="P63" s="167">
        <v>8.7240269553899727E-2</v>
      </c>
      <c r="Q63" s="167">
        <v>0.9128953573166777</v>
      </c>
      <c r="R63" s="167">
        <v>8.6969015812744743E-2</v>
      </c>
      <c r="S63" s="167">
        <v>1.3562687057749447E-4</v>
      </c>
      <c r="T63" s="167"/>
      <c r="U63" s="167"/>
      <c r="V63" s="167"/>
      <c r="W63" s="167"/>
      <c r="X63" s="555">
        <v>9.6691139641726272E-3</v>
      </c>
      <c r="Y63" s="555"/>
      <c r="Z63" s="167"/>
      <c r="AA63" s="167"/>
      <c r="AB63" s="167"/>
      <c r="AC63" s="167"/>
      <c r="AD63" s="167"/>
      <c r="AE63" s="167"/>
      <c r="AF63" s="167"/>
      <c r="AG63" s="167"/>
      <c r="AH63" s="167"/>
      <c r="AI63" s="167"/>
      <c r="AJ63" s="167"/>
      <c r="AK63" s="167"/>
      <c r="AL63" s="167"/>
      <c r="AM63" s="167">
        <v>10.199999999999996</v>
      </c>
      <c r="AN63" s="167">
        <v>-3.9578745360394789E-2</v>
      </c>
      <c r="AO63" s="167">
        <v>-1.0606285780612732</v>
      </c>
      <c r="AP63" s="167">
        <v>-3.8676292197898925</v>
      </c>
      <c r="AQ63" s="167"/>
      <c r="AR63" s="167"/>
      <c r="AS63" s="167"/>
      <c r="AT63" s="167"/>
      <c r="AU63" s="167">
        <v>-2.0146002783801134</v>
      </c>
      <c r="AV63" s="167"/>
      <c r="AW63" s="167">
        <v>10.199999999999996</v>
      </c>
      <c r="AX63" s="167"/>
      <c r="AY63" s="167"/>
      <c r="AZ63" s="167"/>
      <c r="BA63" s="167"/>
      <c r="BB63" s="167"/>
      <c r="BC63" s="167"/>
      <c r="BD63" s="167"/>
      <c r="BE63" s="167"/>
      <c r="BF63" s="167"/>
      <c r="BG63" s="167"/>
      <c r="BH63" s="167">
        <v>10.199999999999996</v>
      </c>
      <c r="BI63" s="167">
        <v>-1.9127597304461004</v>
      </c>
      <c r="BJ63" s="167"/>
      <c r="BK63" s="167"/>
      <c r="BL63" s="167"/>
      <c r="BM63" s="26"/>
      <c r="BN63" s="26"/>
    </row>
    <row r="64" spans="1:66">
      <c r="A64" s="26"/>
      <c r="B64" s="26"/>
      <c r="C64" s="26"/>
      <c r="D64" s="26"/>
      <c r="E64" s="26"/>
      <c r="F64" s="26"/>
      <c r="G64" s="26"/>
      <c r="H64" s="26"/>
      <c r="I64" s="26"/>
      <c r="J64" s="26"/>
      <c r="K64" s="26"/>
      <c r="L64" s="26"/>
      <c r="M64" s="2"/>
      <c r="N64" s="26"/>
      <c r="O64" s="167">
        <v>10.399999999999995</v>
      </c>
      <c r="P64" s="167">
        <v>5.6809687495350418E-2</v>
      </c>
      <c r="Q64" s="167">
        <v>0.94324610165684075</v>
      </c>
      <c r="R64" s="167">
        <v>5.6698109190967773E-2</v>
      </c>
      <c r="S64" s="167">
        <v>5.5789152191322333E-5</v>
      </c>
      <c r="T64" s="167"/>
      <c r="U64" s="167"/>
      <c r="V64" s="167"/>
      <c r="W64" s="167"/>
      <c r="X64" s="555">
        <v>6.9269207606676309E-3</v>
      </c>
      <c r="Y64" s="555"/>
      <c r="Z64" s="167"/>
      <c r="AA64" s="167"/>
      <c r="AB64" s="167"/>
      <c r="AC64" s="167"/>
      <c r="AD64" s="167"/>
      <c r="AE64" s="167"/>
      <c r="AF64" s="167"/>
      <c r="AG64" s="167"/>
      <c r="AH64" s="167"/>
      <c r="AI64" s="167"/>
      <c r="AJ64" s="167"/>
      <c r="AK64" s="167"/>
      <c r="AL64" s="167"/>
      <c r="AM64" s="167">
        <v>10.399999999999995</v>
      </c>
      <c r="AN64" s="167">
        <v>-2.5374816742205975E-2</v>
      </c>
      <c r="AO64" s="167">
        <v>-1.2464233546453807</v>
      </c>
      <c r="AP64" s="167">
        <v>-4.2534227015762962</v>
      </c>
      <c r="AQ64" s="167"/>
      <c r="AR64" s="167"/>
      <c r="AS64" s="167"/>
      <c r="AT64" s="167"/>
      <c r="AU64" s="167">
        <v>-2.1594458000548191</v>
      </c>
      <c r="AV64" s="167"/>
      <c r="AW64" s="167">
        <v>10.399999999999995</v>
      </c>
      <c r="AX64" s="167"/>
      <c r="AY64" s="167"/>
      <c r="AZ64" s="167"/>
      <c r="BA64" s="167"/>
      <c r="BB64" s="167"/>
      <c r="BC64" s="167"/>
      <c r="BD64" s="167"/>
      <c r="BE64" s="167"/>
      <c r="BF64" s="167"/>
      <c r="BG64" s="167"/>
      <c r="BH64" s="167">
        <v>10.399999999999995</v>
      </c>
      <c r="BI64" s="167">
        <v>-1.9431903125046497</v>
      </c>
      <c r="BJ64" s="167"/>
      <c r="BK64" s="167"/>
      <c r="BL64" s="167"/>
      <c r="BM64" s="26"/>
      <c r="BN64" s="26"/>
    </row>
    <row r="65" spans="1:66">
      <c r="A65" s="26"/>
      <c r="B65" s="26"/>
      <c r="C65" s="26"/>
      <c r="D65" s="26"/>
      <c r="E65" s="26"/>
      <c r="F65" s="26"/>
      <c r="G65" s="26"/>
      <c r="H65" s="26"/>
      <c r="I65" s="26"/>
      <c r="J65" s="26"/>
      <c r="K65" s="26"/>
      <c r="L65" s="26"/>
      <c r="M65" s="2"/>
      <c r="N65" s="26"/>
      <c r="O65" s="167">
        <v>10.599999999999994</v>
      </c>
      <c r="P65" s="167">
        <v>3.6585247513752125E-2</v>
      </c>
      <c r="Q65" s="167">
        <v>0.96343743798130266</v>
      </c>
      <c r="R65" s="167">
        <v>3.6539876523642802E-2</v>
      </c>
      <c r="S65" s="167">
        <v>2.268549505466188E-5</v>
      </c>
      <c r="T65" s="167"/>
      <c r="U65" s="167"/>
      <c r="V65" s="167"/>
      <c r="W65" s="167"/>
      <c r="X65" s="555">
        <v>5.2441497243174524E-3</v>
      </c>
      <c r="Y65" s="555"/>
      <c r="Z65" s="167"/>
      <c r="AA65" s="167"/>
      <c r="AB65" s="167"/>
      <c r="AC65" s="167"/>
      <c r="AD65" s="167"/>
      <c r="AE65" s="167"/>
      <c r="AF65" s="167"/>
      <c r="AG65" s="167"/>
      <c r="AH65" s="167"/>
      <c r="AI65" s="167"/>
      <c r="AJ65" s="167"/>
      <c r="AK65" s="167"/>
      <c r="AL65" s="167"/>
      <c r="AM65" s="167">
        <v>10.599999999999994</v>
      </c>
      <c r="AN65" s="167">
        <v>-1.6176376823581841E-2</v>
      </c>
      <c r="AO65" s="167">
        <v>-1.4372236199290531</v>
      </c>
      <c r="AP65" s="167">
        <v>-4.6442216720622644</v>
      </c>
      <c r="AQ65" s="167"/>
      <c r="AR65" s="167"/>
      <c r="AS65" s="167"/>
      <c r="AT65" s="167"/>
      <c r="AU65" s="167">
        <v>-2.2803101545819162</v>
      </c>
      <c r="AV65" s="167"/>
      <c r="AW65" s="167">
        <v>10.599999999999994</v>
      </c>
      <c r="AX65" s="167"/>
      <c r="AY65" s="167"/>
      <c r="AZ65" s="167"/>
      <c r="BA65" s="167"/>
      <c r="BB65" s="167"/>
      <c r="BC65" s="167"/>
      <c r="BD65" s="167"/>
      <c r="BE65" s="167"/>
      <c r="BF65" s="167"/>
      <c r="BG65" s="167"/>
      <c r="BH65" s="167">
        <v>10.599999999999994</v>
      </c>
      <c r="BI65" s="167">
        <v>-1.963414752486248</v>
      </c>
      <c r="BJ65" s="167"/>
      <c r="BK65" s="167"/>
      <c r="BL65" s="167"/>
      <c r="BM65" s="26"/>
      <c r="BN65" s="26"/>
    </row>
    <row r="66" spans="1:66">
      <c r="A66" s="26"/>
      <c r="B66" s="26"/>
      <c r="C66" s="26"/>
      <c r="D66" s="26"/>
      <c r="E66" s="26"/>
      <c r="F66" s="26"/>
      <c r="G66" s="26"/>
      <c r="H66" s="26"/>
      <c r="I66" s="26"/>
      <c r="J66" s="26"/>
      <c r="K66" s="26"/>
      <c r="L66" s="26"/>
      <c r="M66" s="2"/>
      <c r="N66" s="26"/>
      <c r="O66" s="167">
        <v>10.799999999999994</v>
      </c>
      <c r="P66" s="167">
        <v>2.3388879059131736E-2</v>
      </c>
      <c r="Q66" s="167">
        <v>0.97662027577497967</v>
      </c>
      <c r="R66" s="167">
        <v>2.3370569390908681E-2</v>
      </c>
      <c r="S66" s="167">
        <v>9.1548341115281815E-6</v>
      </c>
      <c r="T66" s="167"/>
      <c r="U66" s="167"/>
      <c r="V66" s="167"/>
      <c r="W66" s="167"/>
      <c r="X66" s="555">
        <v>4.5035936384178014E-3</v>
      </c>
      <c r="Y66" s="555"/>
      <c r="Z66" s="167"/>
      <c r="AA66" s="167"/>
      <c r="AB66" s="167"/>
      <c r="AC66" s="167"/>
      <c r="AD66" s="167"/>
      <c r="AE66" s="167"/>
      <c r="AF66" s="167"/>
      <c r="AG66" s="167"/>
      <c r="AH66" s="167"/>
      <c r="AI66" s="167"/>
      <c r="AJ66" s="167"/>
      <c r="AK66" s="167"/>
      <c r="AL66" s="167"/>
      <c r="AM66" s="167">
        <v>10.799999999999994</v>
      </c>
      <c r="AN66" s="167">
        <v>-1.0274196983306802E-2</v>
      </c>
      <c r="AO66" s="167">
        <v>-1.6313201452910742</v>
      </c>
      <c r="AP66" s="167">
        <v>-5.0383169026265824</v>
      </c>
      <c r="AQ66" s="167"/>
      <c r="AR66" s="167"/>
      <c r="AS66" s="167"/>
      <c r="AT66" s="167"/>
      <c r="AU66" s="167">
        <v>-2.3464256121737104</v>
      </c>
      <c r="AV66" s="167"/>
      <c r="AW66" s="167">
        <v>10.799999999999994</v>
      </c>
      <c r="AX66" s="167"/>
      <c r="AY66" s="167"/>
      <c r="AZ66" s="167"/>
      <c r="BA66" s="167"/>
      <c r="BB66" s="167"/>
      <c r="BC66" s="167"/>
      <c r="BD66" s="167"/>
      <c r="BE66" s="167"/>
      <c r="BF66" s="167"/>
      <c r="BG66" s="167"/>
      <c r="BH66" s="167">
        <v>10.799999999999994</v>
      </c>
      <c r="BI66" s="167">
        <v>-1.9766111209408683</v>
      </c>
      <c r="BJ66" s="167"/>
      <c r="BK66" s="167"/>
      <c r="BL66" s="167"/>
      <c r="BM66" s="26"/>
      <c r="BN66" s="26"/>
    </row>
    <row r="67" spans="1:66">
      <c r="A67" s="26"/>
      <c r="B67" s="26"/>
      <c r="C67" s="26"/>
      <c r="D67" s="26"/>
      <c r="E67" s="26"/>
      <c r="F67" s="26"/>
      <c r="G67" s="26"/>
      <c r="H67" s="26"/>
      <c r="I67" s="26"/>
      <c r="J67" s="26"/>
      <c r="K67" s="26"/>
      <c r="L67" s="26"/>
      <c r="M67" s="2"/>
      <c r="N67" s="26"/>
      <c r="O67" s="167">
        <v>10.999999999999993</v>
      </c>
      <c r="P67" s="167">
        <v>1.4881553094279893E-2</v>
      </c>
      <c r="Q67" s="167">
        <v>0.98512212323848569</v>
      </c>
      <c r="R67" s="167">
        <v>1.4874200428748593E-2</v>
      </c>
      <c r="S67" s="167">
        <v>3.6763327656504718E-6</v>
      </c>
      <c r="T67" s="167"/>
      <c r="U67" s="167"/>
      <c r="V67" s="167"/>
      <c r="W67" s="167"/>
      <c r="X67" s="555">
        <v>4.6551149145377087E-3</v>
      </c>
      <c r="Y67" s="555"/>
      <c r="Z67" s="167"/>
      <c r="AA67" s="167"/>
      <c r="AB67" s="167"/>
      <c r="AC67" s="167"/>
      <c r="AD67" s="167"/>
      <c r="AE67" s="167"/>
      <c r="AF67" s="167"/>
      <c r="AG67" s="167"/>
      <c r="AH67" s="167"/>
      <c r="AI67" s="167"/>
      <c r="AJ67" s="167"/>
      <c r="AK67" s="167"/>
      <c r="AL67" s="167"/>
      <c r="AM67" s="167">
        <v>10.999999999999993</v>
      </c>
      <c r="AN67" s="167">
        <v>-6.5098855693862638E-3</v>
      </c>
      <c r="AO67" s="167">
        <v>-1.8275545390794499</v>
      </c>
      <c r="AP67" s="167">
        <v>-5.4345500016172545</v>
      </c>
      <c r="AQ67" s="167"/>
      <c r="AR67" s="167"/>
      <c r="AS67" s="167"/>
      <c r="AT67" s="167"/>
      <c r="AU67" s="167">
        <v>-2.3320544959169478</v>
      </c>
      <c r="AV67" s="167"/>
      <c r="AW67" s="167">
        <v>10.999999999999993</v>
      </c>
      <c r="AX67" s="167"/>
      <c r="AY67" s="167"/>
      <c r="AZ67" s="167"/>
      <c r="BA67" s="167"/>
      <c r="BB67" s="167"/>
      <c r="BC67" s="167"/>
      <c r="BD67" s="167"/>
      <c r="BE67" s="167"/>
      <c r="BF67" s="167"/>
      <c r="BG67" s="167"/>
      <c r="BH67" s="167">
        <v>10.999999999999993</v>
      </c>
      <c r="BI67" s="167">
        <v>-1.9851184469057201</v>
      </c>
      <c r="BJ67" s="167"/>
      <c r="BK67" s="167"/>
      <c r="BL67" s="167"/>
      <c r="BM67" s="26"/>
      <c r="BN67" s="26"/>
    </row>
    <row r="68" spans="1:66">
      <c r="A68" s="26"/>
      <c r="B68" s="26"/>
      <c r="C68" s="26"/>
      <c r="D68" s="26"/>
      <c r="E68" s="26"/>
      <c r="F68" s="26"/>
      <c r="G68" s="26"/>
      <c r="H68" s="26"/>
      <c r="I68" s="26"/>
      <c r="J68" s="26"/>
      <c r="K68" s="26"/>
      <c r="L68" s="26"/>
      <c r="M68" s="2"/>
      <c r="N68" s="26"/>
      <c r="O68" s="167">
        <v>11.199999999999992</v>
      </c>
      <c r="P68" s="167">
        <v>9.4397508571203437E-3</v>
      </c>
      <c r="Q68" s="167">
        <v>0.99056172079880656</v>
      </c>
      <c r="R68" s="167">
        <v>9.4368075452669307E-3</v>
      </c>
      <c r="S68" s="167">
        <v>1.471655926706593E-6</v>
      </c>
      <c r="T68" s="167"/>
      <c r="U68" s="167"/>
      <c r="V68" s="167"/>
      <c r="W68" s="167"/>
      <c r="X68" s="555">
        <v>5.7783877549813702E-3</v>
      </c>
      <c r="Y68" s="555"/>
      <c r="Z68" s="167"/>
      <c r="AA68" s="167"/>
      <c r="AB68" s="167"/>
      <c r="AC68" s="167"/>
      <c r="AD68" s="167"/>
      <c r="AE68" s="167"/>
      <c r="AF68" s="167"/>
      <c r="AG68" s="167"/>
      <c r="AH68" s="167"/>
      <c r="AI68" s="167"/>
      <c r="AJ68" s="167"/>
      <c r="AK68" s="167"/>
      <c r="AL68" s="167"/>
      <c r="AM68" s="167">
        <v>11.199999999999992</v>
      </c>
      <c r="AN68" s="167">
        <v>-4.1184322134842017E-3</v>
      </c>
      <c r="AO68" s="167">
        <v>-2.0251617909258441</v>
      </c>
      <c r="AP68" s="167">
        <v>-5.8321559586659451</v>
      </c>
      <c r="AQ68" s="167"/>
      <c r="AR68" s="167"/>
      <c r="AS68" s="167"/>
      <c r="AT68" s="167"/>
      <c r="AU68" s="167">
        <v>-2.2381788284251796</v>
      </c>
      <c r="AV68" s="167"/>
      <c r="AW68" s="167">
        <v>11.199999999999992</v>
      </c>
      <c r="AX68" s="167"/>
      <c r="AY68" s="167"/>
      <c r="AZ68" s="167"/>
      <c r="BA68" s="167"/>
      <c r="BB68" s="167"/>
      <c r="BC68" s="167"/>
      <c r="BD68" s="167"/>
      <c r="BE68" s="167"/>
      <c r="BF68" s="167"/>
      <c r="BG68" s="167"/>
      <c r="BH68" s="167">
        <v>11.199999999999992</v>
      </c>
      <c r="BI68" s="167">
        <v>-1.9905602491428795</v>
      </c>
      <c r="BJ68" s="167"/>
      <c r="BK68" s="167"/>
      <c r="BL68" s="167"/>
      <c r="BM68" s="26"/>
      <c r="BN68" s="26"/>
    </row>
    <row r="69" spans="1:66">
      <c r="A69" s="26"/>
      <c r="B69" s="26"/>
      <c r="C69" s="26"/>
      <c r="D69" s="26"/>
      <c r="E69" s="26"/>
      <c r="F69" s="26"/>
      <c r="G69" s="26"/>
      <c r="H69" s="26"/>
      <c r="I69" s="26"/>
      <c r="J69" s="26"/>
      <c r="K69" s="26"/>
      <c r="L69" s="26"/>
      <c r="M69" s="2"/>
      <c r="N69" s="26"/>
      <c r="O69" s="167">
        <v>11.399999999999991</v>
      </c>
      <c r="P69" s="167">
        <v>5.9762127422522361E-3</v>
      </c>
      <c r="Q69" s="167">
        <v>0.99402437518254338</v>
      </c>
      <c r="R69" s="167">
        <v>5.9750368926610956E-3</v>
      </c>
      <c r="S69" s="167">
        <v>5.8792479557067994E-7</v>
      </c>
      <c r="T69" s="167"/>
      <c r="U69" s="167"/>
      <c r="V69" s="167"/>
      <c r="W69" s="167"/>
      <c r="X69" s="555">
        <v>8.1354552223827769E-3</v>
      </c>
      <c r="Y69" s="555"/>
      <c r="Z69" s="167"/>
      <c r="AA69" s="167"/>
      <c r="AB69" s="167"/>
      <c r="AC69" s="167"/>
      <c r="AD69" s="167"/>
      <c r="AE69" s="167"/>
      <c r="AF69" s="167"/>
      <c r="AG69" s="167"/>
      <c r="AH69" s="167"/>
      <c r="AI69" s="167"/>
      <c r="AJ69" s="167"/>
      <c r="AK69" s="167"/>
      <c r="AL69" s="167"/>
      <c r="AM69" s="167">
        <v>11.399999999999991</v>
      </c>
      <c r="AN69" s="167">
        <v>-2.6029489749796165E-3</v>
      </c>
      <c r="AO69" s="167">
        <v>-2.2236450128896359</v>
      </c>
      <c r="AP69" s="167">
        <v>-6.2306378858320333</v>
      </c>
      <c r="AQ69" s="167"/>
      <c r="AR69" s="167"/>
      <c r="AS69" s="167"/>
      <c r="AT69" s="167"/>
      <c r="AU69" s="167">
        <v>-2.0896046127762373</v>
      </c>
      <c r="AV69" s="167"/>
      <c r="AW69" s="167">
        <v>11.399999999999991</v>
      </c>
      <c r="AX69" s="167"/>
      <c r="AY69" s="167"/>
      <c r="AZ69" s="167"/>
      <c r="BA69" s="167"/>
      <c r="BB69" s="167"/>
      <c r="BC69" s="167"/>
      <c r="BD69" s="167"/>
      <c r="BE69" s="167"/>
      <c r="BF69" s="167"/>
      <c r="BG69" s="167"/>
      <c r="BH69" s="167">
        <v>11.399999999999991</v>
      </c>
      <c r="BI69" s="167">
        <v>-1.9940237872577478</v>
      </c>
      <c r="BJ69" s="167"/>
      <c r="BK69" s="167"/>
      <c r="BL69" s="167"/>
      <c r="BM69" s="26"/>
      <c r="BN69" s="26"/>
    </row>
    <row r="70" spans="1:66">
      <c r="A70" s="26"/>
      <c r="B70" s="26"/>
      <c r="C70" s="26"/>
      <c r="D70" s="26"/>
      <c r="E70" s="26"/>
      <c r="F70" s="26"/>
      <c r="G70" s="26"/>
      <c r="H70" s="26"/>
      <c r="I70" s="26"/>
      <c r="J70" s="26"/>
      <c r="K70" s="26"/>
      <c r="L70" s="26"/>
      <c r="M70" s="2"/>
      <c r="N70" s="26"/>
      <c r="O70" s="167">
        <v>11.599999999999991</v>
      </c>
      <c r="P70" s="167">
        <v>3.7787952701912246E-3</v>
      </c>
      <c r="Q70" s="167">
        <v>0.99622143930421547</v>
      </c>
      <c r="R70" s="167">
        <v>3.7783261213779496E-3</v>
      </c>
      <c r="S70" s="167">
        <v>2.3457440663752656E-7</v>
      </c>
      <c r="T70" s="167"/>
      <c r="U70" s="167"/>
      <c r="V70" s="167"/>
      <c r="W70" s="167"/>
      <c r="X70" s="555">
        <v>1.2243120574971497E-2</v>
      </c>
      <c r="Y70" s="555"/>
      <c r="Z70" s="167"/>
      <c r="AA70" s="167"/>
      <c r="AB70" s="167"/>
      <c r="AC70" s="167"/>
      <c r="AD70" s="167"/>
      <c r="AE70" s="167"/>
      <c r="AF70" s="167"/>
      <c r="AG70" s="167"/>
      <c r="AH70" s="167"/>
      <c r="AI70" s="167"/>
      <c r="AJ70" s="167"/>
      <c r="AK70" s="167"/>
      <c r="AL70" s="167"/>
      <c r="AM70" s="167">
        <v>11.599999999999991</v>
      </c>
      <c r="AN70" s="167">
        <v>-1.6441055720460803E-3</v>
      </c>
      <c r="AO70" s="167">
        <v>-2.4226848746889988</v>
      </c>
      <c r="AP70" s="167">
        <v>-6.6296764528336922</v>
      </c>
      <c r="AQ70" s="167"/>
      <c r="AR70" s="167"/>
      <c r="AS70" s="167"/>
      <c r="AT70" s="167"/>
      <c r="AU70" s="167">
        <v>-1.9120954944221029</v>
      </c>
      <c r="AV70" s="167"/>
      <c r="AW70" s="167">
        <v>11.599999999999991</v>
      </c>
      <c r="AX70" s="167"/>
      <c r="AY70" s="167"/>
      <c r="AZ70" s="167"/>
      <c r="BA70" s="167"/>
      <c r="BB70" s="167"/>
      <c r="BC70" s="167"/>
      <c r="BD70" s="167"/>
      <c r="BE70" s="167"/>
      <c r="BF70" s="167"/>
      <c r="BG70" s="167"/>
      <c r="BH70" s="167">
        <v>11.599999999999991</v>
      </c>
      <c r="BI70" s="167">
        <v>-1.9962212047298087</v>
      </c>
      <c r="BJ70" s="167"/>
      <c r="BK70" s="167"/>
      <c r="BL70" s="167"/>
      <c r="BM70" s="26"/>
      <c r="BN70" s="26"/>
    </row>
    <row r="71" spans="1:66">
      <c r="A71" s="26"/>
      <c r="B71" s="26"/>
      <c r="C71" s="26"/>
      <c r="D71" s="26"/>
      <c r="E71" s="26"/>
      <c r="F71" s="26"/>
      <c r="G71" s="26"/>
      <c r="H71" s="26"/>
      <c r="I71" s="26"/>
      <c r="J71" s="26"/>
      <c r="K71" s="26"/>
      <c r="L71" s="26"/>
      <c r="M71" s="2"/>
      <c r="N71" s="26"/>
      <c r="O71" s="167">
        <v>11.79999999999999</v>
      </c>
      <c r="P71" s="167">
        <v>2.3874787379380615E-3</v>
      </c>
      <c r="Q71" s="167">
        <v>0.99761261477822405</v>
      </c>
      <c r="R71" s="167">
        <v>2.3872917056139862E-3</v>
      </c>
      <c r="S71" s="167">
        <v>9.3516162037649152E-8</v>
      </c>
      <c r="T71" s="167"/>
      <c r="U71" s="167"/>
      <c r="V71" s="167"/>
      <c r="W71" s="167"/>
      <c r="X71" s="555">
        <v>1.8991282017710717E-2</v>
      </c>
      <c r="Y71" s="555"/>
      <c r="Z71" s="167"/>
      <c r="AA71" s="167"/>
      <c r="AB71" s="167"/>
      <c r="AC71" s="167"/>
      <c r="AD71" s="167"/>
      <c r="AE71" s="167"/>
      <c r="AF71" s="167"/>
      <c r="AG71" s="167"/>
      <c r="AH71" s="167"/>
      <c r="AI71" s="167"/>
      <c r="AJ71" s="167"/>
      <c r="AK71" s="167"/>
      <c r="AL71" s="167"/>
      <c r="AM71" s="167">
        <v>11.79999999999999</v>
      </c>
      <c r="AN71" s="167">
        <v>-1.0380611351218534E-3</v>
      </c>
      <c r="AO71" s="167">
        <v>-2.6220775354543706</v>
      </c>
      <c r="AP71" s="167">
        <v>-7.0290678188013596</v>
      </c>
      <c r="AQ71" s="167"/>
      <c r="AR71" s="167"/>
      <c r="AS71" s="167"/>
      <c r="AT71" s="167"/>
      <c r="AU71" s="167">
        <v>-1.7214345723480586</v>
      </c>
      <c r="AV71" s="167"/>
      <c r="AW71" s="167">
        <v>11.79999999999999</v>
      </c>
      <c r="AX71" s="167"/>
      <c r="AY71" s="167"/>
      <c r="AZ71" s="167"/>
      <c r="BA71" s="167"/>
      <c r="BB71" s="167"/>
      <c r="BC71" s="167"/>
      <c r="BD71" s="167"/>
      <c r="BE71" s="167"/>
      <c r="BF71" s="167"/>
      <c r="BG71" s="167"/>
      <c r="BH71" s="167">
        <v>11.79999999999999</v>
      </c>
      <c r="BI71" s="167">
        <v>-1.9976125212620619</v>
      </c>
      <c r="BJ71" s="167"/>
      <c r="BK71" s="167"/>
      <c r="BL71" s="167"/>
      <c r="BM71" s="26"/>
      <c r="BN71" s="26"/>
    </row>
    <row r="72" spans="1:66">
      <c r="A72" s="26"/>
      <c r="B72" s="26"/>
      <c r="C72" s="26"/>
      <c r="D72" s="26"/>
      <c r="E72" s="26"/>
      <c r="F72" s="26"/>
      <c r="G72" s="26"/>
      <c r="H72" s="26"/>
      <c r="I72" s="26"/>
      <c r="J72" s="26"/>
      <c r="K72" s="26"/>
      <c r="L72" s="26"/>
      <c r="M72" s="2"/>
      <c r="N72" s="26"/>
      <c r="O72" s="167">
        <v>11.999999999999989</v>
      </c>
      <c r="P72" s="167">
        <v>1.5076820655469502E-3</v>
      </c>
      <c r="Q72" s="167">
        <v>0.99849235519673829</v>
      </c>
      <c r="R72" s="167">
        <v>1.5076075409763397E-3</v>
      </c>
      <c r="S72" s="167">
        <v>3.7262285305237085E-8</v>
      </c>
      <c r="T72" s="167"/>
      <c r="U72" s="167"/>
      <c r="V72" s="167"/>
      <c r="W72" s="167"/>
      <c r="X72" s="555">
        <v>2.9837845580748253E-2</v>
      </c>
      <c r="Y72" s="555"/>
      <c r="Z72" s="167"/>
      <c r="AA72" s="167"/>
      <c r="AB72" s="167"/>
      <c r="AC72" s="167"/>
      <c r="AD72" s="167"/>
      <c r="AE72" s="167"/>
      <c r="AF72" s="167"/>
      <c r="AG72" s="167"/>
      <c r="AH72" s="167"/>
      <c r="AI72" s="167"/>
      <c r="AJ72" s="167"/>
      <c r="AK72" s="167"/>
      <c r="AL72" s="167"/>
      <c r="AM72" s="167">
        <v>11.999999999999989</v>
      </c>
      <c r="AN72" s="167">
        <v>-6.5525164738552738E-4</v>
      </c>
      <c r="AO72" s="167">
        <v>-2.8216934311689306</v>
      </c>
      <c r="AP72" s="167">
        <v>-7.428682419718216</v>
      </c>
      <c r="AQ72" s="167"/>
      <c r="AR72" s="167"/>
      <c r="AS72" s="167"/>
      <c r="AT72" s="167"/>
      <c r="AU72" s="167">
        <v>-1.525222663636602</v>
      </c>
      <c r="AV72" s="167"/>
      <c r="AW72" s="167">
        <v>11.999999999999989</v>
      </c>
      <c r="AX72" s="167"/>
      <c r="AY72" s="167"/>
      <c r="AZ72" s="167"/>
      <c r="BA72" s="167"/>
      <c r="BB72" s="167"/>
      <c r="BC72" s="167"/>
      <c r="BD72" s="167"/>
      <c r="BE72" s="167"/>
      <c r="BF72" s="167"/>
      <c r="BG72" s="167"/>
      <c r="BH72" s="167">
        <v>11.999999999999989</v>
      </c>
      <c r="BI72" s="167">
        <v>-1.9984923179344531</v>
      </c>
      <c r="BJ72" s="167"/>
      <c r="BK72" s="167"/>
      <c r="BL72" s="167"/>
      <c r="BM72" s="26"/>
      <c r="BN72" s="26"/>
    </row>
    <row r="73" spans="1:66">
      <c r="A73" s="26"/>
      <c r="B73" s="26"/>
      <c r="C73" s="26"/>
      <c r="D73" s="26"/>
      <c r="E73" s="26"/>
      <c r="F73" s="26"/>
      <c r="G73" s="26"/>
      <c r="H73" s="26"/>
      <c r="I73" s="26"/>
      <c r="J73" s="26"/>
      <c r="K73" s="26"/>
      <c r="L73" s="26"/>
      <c r="M73" s="2"/>
      <c r="N73" s="26"/>
      <c r="O73" s="167">
        <v>12.199999999999989</v>
      </c>
      <c r="P73" s="167">
        <v>9.5179529245088107E-4</v>
      </c>
      <c r="Q73" s="167">
        <v>0.9990482195501903</v>
      </c>
      <c r="R73" s="167">
        <v>9.5176560716822795E-4</v>
      </c>
      <c r="S73" s="167">
        <v>1.4842641326590855E-8</v>
      </c>
      <c r="T73" s="167"/>
      <c r="U73" s="167"/>
      <c r="V73" s="167"/>
      <c r="W73" s="167"/>
      <c r="X73" s="555">
        <v>4.7124573953072506E-2</v>
      </c>
      <c r="Y73" s="555"/>
      <c r="Z73" s="167"/>
      <c r="AA73" s="167"/>
      <c r="AB73" s="167"/>
      <c r="AC73" s="167"/>
      <c r="AD73" s="167"/>
      <c r="AE73" s="167"/>
      <c r="AF73" s="167"/>
      <c r="AG73" s="167"/>
      <c r="AH73" s="167"/>
      <c r="AI73" s="167"/>
      <c r="AJ73" s="167"/>
      <c r="AK73" s="167"/>
      <c r="AL73" s="167"/>
      <c r="AM73" s="167">
        <v>12.199999999999989</v>
      </c>
      <c r="AN73" s="167">
        <v>-4.1354715557581531E-4</v>
      </c>
      <c r="AO73" s="167">
        <v>-3.0214504318794178</v>
      </c>
      <c r="AP73" s="167">
        <v>-7.8284381256309983</v>
      </c>
      <c r="AQ73" s="167"/>
      <c r="AR73" s="167"/>
      <c r="AS73" s="167"/>
      <c r="AT73" s="167"/>
      <c r="AU73" s="167">
        <v>-1.3267439737854763</v>
      </c>
      <c r="AV73" s="167"/>
      <c r="AW73" s="167">
        <v>12.199999999999989</v>
      </c>
      <c r="AX73" s="167"/>
      <c r="AY73" s="167"/>
      <c r="AZ73" s="167"/>
      <c r="BA73" s="167"/>
      <c r="BB73" s="167"/>
      <c r="BC73" s="167"/>
      <c r="BD73" s="167"/>
      <c r="BE73" s="167"/>
      <c r="BF73" s="167"/>
      <c r="BG73" s="167"/>
      <c r="BH73" s="167">
        <v>12.199999999999989</v>
      </c>
      <c r="BI73" s="167">
        <v>-1.9990482047075491</v>
      </c>
      <c r="BJ73" s="167"/>
      <c r="BK73" s="167"/>
      <c r="BL73" s="167"/>
      <c r="BM73" s="26"/>
      <c r="BN73" s="26"/>
    </row>
    <row r="74" spans="1:66">
      <c r="A74" s="26"/>
      <c r="B74" s="26"/>
      <c r="C74" s="26"/>
      <c r="D74" s="26"/>
      <c r="E74" s="26"/>
      <c r="F74" s="26"/>
      <c r="G74" s="26"/>
      <c r="H74" s="26"/>
      <c r="I74" s="26"/>
      <c r="J74" s="26"/>
      <c r="K74" s="26"/>
      <c r="L74" s="26"/>
      <c r="M74" s="2"/>
      <c r="N74" s="26"/>
      <c r="O74" s="167">
        <v>12.399999999999988</v>
      </c>
      <c r="P74" s="167">
        <v>6.007463307642556E-4</v>
      </c>
      <c r="Q74" s="167">
        <v>0.99939925958027409</v>
      </c>
      <c r="R74" s="167">
        <v>6.0073450868785476E-4</v>
      </c>
      <c r="S74" s="167">
        <v>5.9110382003894951E-9</v>
      </c>
      <c r="T74" s="167"/>
      <c r="U74" s="167"/>
      <c r="V74" s="167"/>
      <c r="W74" s="167"/>
      <c r="X74" s="555">
        <v>7.458302717429556E-2</v>
      </c>
      <c r="Y74" s="555"/>
      <c r="Z74" s="167"/>
      <c r="AA74" s="167"/>
      <c r="AB74" s="167"/>
      <c r="AC74" s="167"/>
      <c r="AD74" s="167"/>
      <c r="AE74" s="167"/>
      <c r="AF74" s="167"/>
      <c r="AG74" s="167"/>
      <c r="AH74" s="167"/>
      <c r="AI74" s="167"/>
      <c r="AJ74" s="167"/>
      <c r="AK74" s="167"/>
      <c r="AL74" s="167"/>
      <c r="AM74" s="167">
        <v>12.399999999999988</v>
      </c>
      <c r="AN74" s="167">
        <v>-2.6097495724455459E-4</v>
      </c>
      <c r="AO74" s="167">
        <v>-3.2212965648833825</v>
      </c>
      <c r="AP74" s="167">
        <v>-8.2282829638372608</v>
      </c>
      <c r="AQ74" s="167"/>
      <c r="AR74" s="167"/>
      <c r="AS74" s="167"/>
      <c r="AT74" s="167"/>
      <c r="AU74" s="167">
        <v>-1.1273526949662789</v>
      </c>
      <c r="AV74" s="167"/>
      <c r="AW74" s="167">
        <v>12.399999999999988</v>
      </c>
      <c r="AX74" s="167"/>
      <c r="AY74" s="167"/>
      <c r="AZ74" s="167"/>
      <c r="BA74" s="167"/>
      <c r="BB74" s="167"/>
      <c r="BC74" s="167"/>
      <c r="BD74" s="167"/>
      <c r="BE74" s="167"/>
      <c r="BF74" s="167"/>
      <c r="BG74" s="167"/>
      <c r="BH74" s="167">
        <v>12.399999999999988</v>
      </c>
      <c r="BI74" s="167">
        <v>-1.9993992536692358</v>
      </c>
      <c r="BJ74" s="167"/>
      <c r="BK74" s="167"/>
      <c r="BL74" s="167"/>
      <c r="BM74" s="26"/>
      <c r="BN74" s="26"/>
    </row>
    <row r="75" spans="1:66">
      <c r="A75" s="26"/>
      <c r="B75" s="26"/>
      <c r="C75" s="26"/>
      <c r="D75" s="26"/>
      <c r="E75" s="26"/>
      <c r="F75" s="26"/>
      <c r="G75" s="26"/>
      <c r="H75" s="26"/>
      <c r="I75" s="26"/>
      <c r="J75" s="26"/>
      <c r="K75" s="26"/>
      <c r="L75" s="26"/>
      <c r="M75" s="2"/>
      <c r="N75" s="26"/>
      <c r="O75" s="167">
        <v>12.599999999999987</v>
      </c>
      <c r="P75" s="167">
        <v>3.791266092439104E-4</v>
      </c>
      <c r="Q75" s="167">
        <v>0.99962087574450464</v>
      </c>
      <c r="R75" s="167">
        <v>3.791219017468713E-4</v>
      </c>
      <c r="S75" s="167">
        <v>2.3537485195462758E-9</v>
      </c>
      <c r="T75" s="167"/>
      <c r="U75" s="167"/>
      <c r="V75" s="167"/>
      <c r="W75" s="167"/>
      <c r="X75" s="555">
        <v>0.1181402111417403</v>
      </c>
      <c r="Y75" s="555"/>
      <c r="Z75" s="167"/>
      <c r="AA75" s="167"/>
      <c r="AB75" s="167"/>
      <c r="AC75" s="167"/>
      <c r="AD75" s="167"/>
      <c r="AE75" s="167"/>
      <c r="AF75" s="167"/>
      <c r="AG75" s="167"/>
      <c r="AH75" s="167"/>
      <c r="AI75" s="167"/>
      <c r="AJ75" s="167"/>
      <c r="AK75" s="167"/>
      <c r="AL75" s="167"/>
      <c r="AM75" s="167">
        <v>12.599999999999987</v>
      </c>
      <c r="AN75" s="167">
        <v>-1.6468172555614302E-4</v>
      </c>
      <c r="AO75" s="167">
        <v>-3.4211989768539905</v>
      </c>
      <c r="AP75" s="167">
        <v>-8.6281840810101667</v>
      </c>
      <c r="AQ75" s="167"/>
      <c r="AR75" s="167"/>
      <c r="AS75" s="167"/>
      <c r="AT75" s="167"/>
      <c r="AU75" s="167">
        <v>-0.92759625201437024</v>
      </c>
      <c r="AV75" s="167"/>
      <c r="AW75" s="167">
        <v>12.599999999999987</v>
      </c>
      <c r="AX75" s="167"/>
      <c r="AY75" s="167"/>
      <c r="AZ75" s="167"/>
      <c r="BA75" s="167"/>
      <c r="BB75" s="167"/>
      <c r="BC75" s="167"/>
      <c r="BD75" s="167"/>
      <c r="BE75" s="167"/>
      <c r="BF75" s="167"/>
      <c r="BG75" s="167"/>
      <c r="BH75" s="167">
        <v>12.599999999999987</v>
      </c>
      <c r="BI75" s="167">
        <v>-1.9996208733907561</v>
      </c>
      <c r="BJ75" s="167"/>
      <c r="BK75" s="167"/>
      <c r="BL75" s="167"/>
      <c r="BM75" s="26"/>
      <c r="BN75" s="26"/>
    </row>
    <row r="76" spans="1:66">
      <c r="A76" s="26"/>
      <c r="B76" s="26"/>
      <c r="C76" s="26"/>
      <c r="D76" s="26"/>
      <c r="E76" s="26"/>
      <c r="F76" s="26"/>
      <c r="G76" s="26"/>
      <c r="H76" s="26"/>
      <c r="I76" s="26"/>
      <c r="J76" s="26"/>
      <c r="K76" s="26"/>
      <c r="L76" s="26"/>
      <c r="M76" s="2"/>
      <c r="N76" s="26"/>
      <c r="O76" s="167">
        <v>12.799999999999986</v>
      </c>
      <c r="P76" s="167">
        <v>2.3924509608433351E-4</v>
      </c>
      <c r="Q76" s="167">
        <v>0.99976075584109103</v>
      </c>
      <c r="R76" s="167">
        <v>2.3924322173375978E-4</v>
      </c>
      <c r="S76" s="167">
        <v>9.3717528685123771E-10</v>
      </c>
      <c r="T76" s="167"/>
      <c r="U76" s="167"/>
      <c r="V76" s="167"/>
      <c r="W76" s="167"/>
      <c r="X76" s="555">
        <v>0.18719800091645253</v>
      </c>
      <c r="Y76" s="555"/>
      <c r="Z76" s="167"/>
      <c r="AA76" s="167"/>
      <c r="AB76" s="167"/>
      <c r="AC76" s="167"/>
      <c r="AD76" s="167"/>
      <c r="AE76" s="167"/>
      <c r="AF76" s="167"/>
      <c r="AG76" s="167"/>
      <c r="AH76" s="167"/>
      <c r="AI76" s="167"/>
      <c r="AJ76" s="167"/>
      <c r="AK76" s="167"/>
      <c r="AL76" s="167"/>
      <c r="AM76" s="167">
        <v>12.799999999999986</v>
      </c>
      <c r="AN76" s="167">
        <v>-1.0391417630425373E-4</v>
      </c>
      <c r="AO76" s="167">
        <v>-3.6211369145070345</v>
      </c>
      <c r="AP76" s="167">
        <v>-9.0281207238655057</v>
      </c>
      <c r="AQ76" s="167"/>
      <c r="AR76" s="167"/>
      <c r="AS76" s="167"/>
      <c r="AT76" s="167"/>
      <c r="AU76" s="167">
        <v>-0.72769408228123378</v>
      </c>
      <c r="AV76" s="167"/>
      <c r="AW76" s="167">
        <v>12.799999999999986</v>
      </c>
      <c r="AX76" s="167"/>
      <c r="AY76" s="167"/>
      <c r="AZ76" s="167"/>
      <c r="BA76" s="167"/>
      <c r="BB76" s="167"/>
      <c r="BC76" s="167"/>
      <c r="BD76" s="167"/>
      <c r="BE76" s="167"/>
      <c r="BF76" s="167"/>
      <c r="BG76" s="167"/>
      <c r="BH76" s="167">
        <v>12.799999999999986</v>
      </c>
      <c r="BI76" s="167">
        <v>-1.9997607549039156</v>
      </c>
      <c r="BJ76" s="167"/>
      <c r="BK76" s="167"/>
      <c r="BL76" s="167"/>
      <c r="BM76" s="26"/>
      <c r="BN76" s="26"/>
    </row>
    <row r="77" spans="1:66">
      <c r="A77" s="26"/>
      <c r="B77" s="26"/>
      <c r="C77" s="26"/>
      <c r="D77" s="26"/>
      <c r="E77" s="26"/>
      <c r="F77" s="26"/>
      <c r="G77" s="26"/>
      <c r="H77" s="26"/>
      <c r="I77" s="26"/>
      <c r="J77" s="26"/>
      <c r="K77" s="26"/>
      <c r="L77" s="26"/>
      <c r="M77" s="2"/>
      <c r="N77" s="26"/>
      <c r="O77" s="167">
        <v>12.999999999999986</v>
      </c>
      <c r="P77" s="167">
        <v>1.5096634311001435E-4</v>
      </c>
      <c r="Q77" s="167">
        <v>0.99984903403001901</v>
      </c>
      <c r="R77" s="167">
        <v>1.5096559685172256E-4</v>
      </c>
      <c r="S77" s="167">
        <v>3.7312914589968997E-10</v>
      </c>
      <c r="T77" s="167"/>
      <c r="U77" s="167"/>
      <c r="V77" s="167"/>
      <c r="W77" s="167"/>
      <c r="X77" s="555">
        <v>0.2966625708592312</v>
      </c>
      <c r="Y77" s="555"/>
      <c r="Z77" s="167"/>
      <c r="AA77" s="167"/>
      <c r="AB77" s="167"/>
      <c r="AC77" s="167"/>
      <c r="AD77" s="167"/>
      <c r="AE77" s="167"/>
      <c r="AF77" s="167"/>
      <c r="AG77" s="167"/>
      <c r="AH77" s="167"/>
      <c r="AI77" s="167"/>
      <c r="AJ77" s="167"/>
      <c r="AK77" s="167"/>
      <c r="AL77" s="167"/>
      <c r="AM77" s="167">
        <v>12.999999999999986</v>
      </c>
      <c r="AN77" s="167">
        <v>-6.5568212668304496E-5</v>
      </c>
      <c r="AO77" s="167">
        <v>-3.821097273745695</v>
      </c>
      <c r="AP77" s="167">
        <v>-9.4280797883064622</v>
      </c>
      <c r="AQ77" s="167"/>
      <c r="AR77" s="167"/>
      <c r="AS77" s="167"/>
      <c r="AT77" s="167"/>
      <c r="AU77" s="167">
        <v>-0.52773382746106379</v>
      </c>
      <c r="AV77" s="167"/>
      <c r="AW77" s="167">
        <v>12.999999999999986</v>
      </c>
      <c r="AX77" s="167"/>
      <c r="AY77" s="167"/>
      <c r="AZ77" s="167"/>
      <c r="BA77" s="167"/>
      <c r="BB77" s="167"/>
      <c r="BC77" s="167"/>
      <c r="BD77" s="167"/>
      <c r="BE77" s="167"/>
      <c r="BF77" s="167"/>
      <c r="BG77" s="167"/>
      <c r="BH77" s="167">
        <v>12.999999999999986</v>
      </c>
      <c r="BI77" s="167">
        <v>-1.9998490336568899</v>
      </c>
      <c r="BJ77" s="167"/>
      <c r="BK77" s="167"/>
      <c r="BL77" s="167"/>
      <c r="BM77" s="26"/>
      <c r="BN77" s="26"/>
    </row>
    <row r="78" spans="1:66">
      <c r="A78" s="26"/>
      <c r="B78" s="26"/>
      <c r="C78" s="26"/>
      <c r="D78" s="26"/>
      <c r="E78" s="26"/>
      <c r="F78" s="26"/>
      <c r="G78" s="26"/>
      <c r="H78" s="26"/>
      <c r="I78" s="26"/>
      <c r="J78" s="26"/>
      <c r="K78" s="26"/>
      <c r="L78" s="26"/>
      <c r="M78" s="2"/>
      <c r="N78" s="26"/>
      <c r="O78" s="167">
        <v>13.199999999999985</v>
      </c>
      <c r="P78" s="167">
        <v>9.5258456319663616E-5</v>
      </c>
      <c r="Q78" s="167">
        <v>0.99990474169223398</v>
      </c>
      <c r="R78" s="167">
        <v>9.525815921233383E-5</v>
      </c>
      <c r="S78" s="167">
        <v>1.485536648909462E-10</v>
      </c>
      <c r="T78" s="167"/>
      <c r="U78" s="167"/>
      <c r="V78" s="167"/>
      <c r="W78" s="167"/>
      <c r="X78" s="555">
        <v>0.470161912490136</v>
      </c>
      <c r="Y78" s="555"/>
      <c r="Z78" s="167"/>
      <c r="AA78" s="167"/>
      <c r="AB78" s="167"/>
      <c r="AC78" s="167"/>
      <c r="AD78" s="167"/>
      <c r="AE78" s="167"/>
      <c r="AF78" s="167"/>
      <c r="AG78" s="167"/>
      <c r="AH78" s="167"/>
      <c r="AI78" s="167"/>
      <c r="AJ78" s="167"/>
      <c r="AK78" s="167"/>
      <c r="AL78" s="167"/>
      <c r="AM78" s="167">
        <v>13.199999999999985</v>
      </c>
      <c r="AN78" s="167">
        <v>-4.1371860126279378E-5</v>
      </c>
      <c r="AO78" s="167">
        <v>-4.0210717825954498</v>
      </c>
      <c r="AP78" s="167">
        <v>-9.828053002358514</v>
      </c>
      <c r="AQ78" s="167"/>
      <c r="AR78" s="167"/>
      <c r="AS78" s="167"/>
      <c r="AT78" s="167"/>
      <c r="AU78" s="167">
        <v>-0.3277504338325502</v>
      </c>
      <c r="AV78" s="167"/>
      <c r="AW78" s="167">
        <v>13.199999999999985</v>
      </c>
      <c r="AX78" s="167"/>
      <c r="AY78" s="167"/>
      <c r="AZ78" s="167"/>
      <c r="BA78" s="167"/>
      <c r="BB78" s="167"/>
      <c r="BC78" s="167"/>
      <c r="BD78" s="167"/>
      <c r="BE78" s="167"/>
      <c r="BF78" s="167"/>
      <c r="BG78" s="167"/>
      <c r="BH78" s="167">
        <v>13.199999999999985</v>
      </c>
      <c r="BI78" s="167">
        <v>-1.9999047415436804</v>
      </c>
      <c r="BJ78" s="167"/>
      <c r="BK78" s="167"/>
      <c r="BL78" s="167"/>
      <c r="BM78" s="26"/>
      <c r="BN78" s="26"/>
    </row>
    <row r="79" spans="1:66">
      <c r="A79" s="26"/>
      <c r="B79" s="26"/>
      <c r="C79" s="26"/>
      <c r="D79" s="26"/>
      <c r="E79" s="26"/>
      <c r="F79" s="26"/>
      <c r="G79" s="26"/>
      <c r="H79" s="26"/>
      <c r="I79" s="26"/>
      <c r="J79" s="26"/>
      <c r="K79" s="26"/>
      <c r="L79" s="26"/>
      <c r="M79" s="2"/>
      <c r="N79" s="26"/>
      <c r="O79" s="167">
        <v>13.399999999999984</v>
      </c>
      <c r="P79" s="167">
        <v>6.0106066450754936E-5</v>
      </c>
      <c r="Q79" s="167">
        <v>0.99993989399269156</v>
      </c>
      <c r="R79" s="167">
        <v>6.0105948166038293E-5</v>
      </c>
      <c r="S79" s="167">
        <v>5.9142358320003938E-11</v>
      </c>
      <c r="T79" s="167"/>
      <c r="U79" s="167"/>
      <c r="V79" s="167"/>
      <c r="W79" s="167"/>
      <c r="X79" s="555">
        <v>0.74514595397882899</v>
      </c>
      <c r="Y79" s="555"/>
      <c r="Z79" s="167"/>
      <c r="AA79" s="167"/>
      <c r="AB79" s="167"/>
      <c r="AC79" s="167"/>
      <c r="AD79" s="167"/>
      <c r="AE79" s="167"/>
      <c r="AF79" s="167"/>
      <c r="AG79" s="167"/>
      <c r="AH79" s="167"/>
      <c r="AI79" s="167"/>
      <c r="AJ79" s="167"/>
      <c r="AK79" s="167"/>
      <c r="AL79" s="167"/>
      <c r="AM79" s="167">
        <v>13.399999999999984</v>
      </c>
      <c r="AN79" s="167">
        <v>-2.6104322829357552E-5</v>
      </c>
      <c r="AO79" s="167">
        <v>-4.2210552202604488</v>
      </c>
      <c r="AP79" s="167">
        <v>-10.228035145225808</v>
      </c>
      <c r="AQ79" s="167"/>
      <c r="AR79" s="167"/>
      <c r="AS79" s="167"/>
      <c r="AT79" s="167"/>
      <c r="AU79" s="167">
        <v>-0.12775782524525647</v>
      </c>
      <c r="AV79" s="167"/>
      <c r="AW79" s="167">
        <v>13.399999999999984</v>
      </c>
      <c r="AX79" s="167"/>
      <c r="AY79" s="167"/>
      <c r="AZ79" s="167"/>
      <c r="BA79" s="167"/>
      <c r="BB79" s="167"/>
      <c r="BC79" s="167"/>
      <c r="BD79" s="167"/>
      <c r="BE79" s="167"/>
      <c r="BF79" s="167"/>
      <c r="BG79" s="167"/>
      <c r="BH79" s="167">
        <v>13.399999999999984</v>
      </c>
      <c r="BI79" s="167">
        <v>-1.9999398939335493</v>
      </c>
      <c r="BJ79" s="167"/>
      <c r="BK79" s="167"/>
      <c r="BL79" s="167"/>
      <c r="BM79" s="26"/>
      <c r="BN79" s="26"/>
    </row>
    <row r="80" spans="1:66">
      <c r="A80" s="26"/>
      <c r="B80" s="26"/>
      <c r="C80" s="26"/>
      <c r="D80" s="26"/>
      <c r="E80" s="26"/>
      <c r="F80" s="26"/>
      <c r="G80" s="26"/>
      <c r="H80" s="26"/>
      <c r="I80" s="26"/>
      <c r="J80" s="26"/>
      <c r="K80" s="26"/>
      <c r="L80" s="26"/>
      <c r="M80" s="2"/>
      <c r="N80" s="26"/>
      <c r="O80" s="167">
        <v>13.599999999999984</v>
      </c>
      <c r="P80" s="167">
        <v>3.7925177777002118E-5</v>
      </c>
      <c r="Q80" s="167">
        <v>0.99996207484576849</v>
      </c>
      <c r="R80" s="167">
        <v>3.7925130685963692E-5</v>
      </c>
      <c r="S80" s="167">
        <v>2.3545519210147684E-11</v>
      </c>
      <c r="T80" s="167"/>
      <c r="U80" s="167"/>
      <c r="V80" s="167"/>
      <c r="W80" s="167"/>
      <c r="X80" s="555">
        <v>1.1809701491750404</v>
      </c>
      <c r="Y80" s="555"/>
      <c r="Z80" s="167"/>
      <c r="AA80" s="167"/>
      <c r="AB80" s="167"/>
      <c r="AC80" s="167"/>
      <c r="AD80" s="167"/>
      <c r="AE80" s="167"/>
      <c r="AF80" s="167"/>
      <c r="AG80" s="167"/>
      <c r="AH80" s="167"/>
      <c r="AI80" s="167"/>
      <c r="AJ80" s="167"/>
      <c r="AK80" s="167"/>
      <c r="AL80" s="167"/>
      <c r="AM80" s="167">
        <v>13.599999999999984</v>
      </c>
      <c r="AN80" s="167">
        <v>-1.6470890909561246E-5</v>
      </c>
      <c r="AO80" s="167">
        <v>-4.4210442920308255</v>
      </c>
      <c r="AP80" s="167">
        <v>-10.628022922198481</v>
      </c>
      <c r="AQ80" s="167"/>
      <c r="AR80" s="167"/>
      <c r="AS80" s="167"/>
      <c r="AT80" s="167"/>
      <c r="AU80" s="167">
        <v>7.2238452621706653E-2</v>
      </c>
      <c r="AV80" s="167"/>
      <c r="AW80" s="167">
        <v>13.599999999999984</v>
      </c>
      <c r="AX80" s="167"/>
      <c r="AY80" s="167"/>
      <c r="AZ80" s="167"/>
      <c r="BA80" s="167"/>
      <c r="BB80" s="167"/>
      <c r="BC80" s="167"/>
      <c r="BD80" s="167"/>
      <c r="BE80" s="167"/>
      <c r="BF80" s="167"/>
      <c r="BG80" s="167"/>
      <c r="BH80" s="167">
        <v>13.599999999999984</v>
      </c>
      <c r="BI80" s="167">
        <v>-1.9999620748222231</v>
      </c>
      <c r="BJ80" s="167"/>
      <c r="BK80" s="167"/>
      <c r="BL80" s="167"/>
      <c r="BM80" s="26"/>
      <c r="BN80" s="26"/>
    </row>
    <row r="81" spans="1:66">
      <c r="A81" s="26"/>
      <c r="B81" s="26"/>
      <c r="C81" s="26"/>
      <c r="D81" s="26"/>
      <c r="E81" s="26"/>
      <c r="F81" s="26"/>
      <c r="G81" s="26"/>
      <c r="H81" s="26"/>
      <c r="I81" s="26"/>
      <c r="J81" s="26"/>
      <c r="K81" s="26"/>
      <c r="L81" s="26"/>
      <c r="M81" s="2"/>
      <c r="N81" s="26"/>
      <c r="O81" s="167">
        <v>13.799999999999983</v>
      </c>
      <c r="P81" s="167">
        <v>2.3929493411272131E-5</v>
      </c>
      <c r="Q81" s="167">
        <v>0.99997607051596238</v>
      </c>
      <c r="R81" s="167">
        <v>2.3929474663729675E-5</v>
      </c>
      <c r="S81" s="167">
        <v>9.3737712273149464E-12</v>
      </c>
      <c r="T81" s="167"/>
      <c r="U81" s="167"/>
      <c r="V81" s="167"/>
      <c r="W81" s="167"/>
      <c r="X81" s="555">
        <v>1.8717073849599926</v>
      </c>
      <c r="Y81" s="555"/>
      <c r="Z81" s="167"/>
      <c r="AA81" s="167"/>
      <c r="AB81" s="167"/>
      <c r="AC81" s="167"/>
      <c r="AD81" s="167"/>
      <c r="AE81" s="167"/>
      <c r="AF81" s="167"/>
      <c r="AG81" s="167"/>
      <c r="AH81" s="167"/>
      <c r="AI81" s="167"/>
      <c r="AJ81" s="167"/>
      <c r="AK81" s="167"/>
      <c r="AL81" s="167"/>
      <c r="AM81" s="167">
        <v>13.799999999999983</v>
      </c>
      <c r="AN81" s="167">
        <v>-1.0392499935851709E-5</v>
      </c>
      <c r="AO81" s="167">
        <v>-4.6210369188421483</v>
      </c>
      <c r="AP81" s="167">
        <v>-11.028014254212101</v>
      </c>
      <c r="AQ81" s="167"/>
      <c r="AR81" s="167"/>
      <c r="AS81" s="167"/>
      <c r="AT81" s="167"/>
      <c r="AU81" s="167">
        <v>0.27223619142903521</v>
      </c>
      <c r="AV81" s="167"/>
      <c r="AW81" s="167">
        <v>13.799999999999983</v>
      </c>
      <c r="AX81" s="167"/>
      <c r="AY81" s="167"/>
      <c r="AZ81" s="167"/>
      <c r="BA81" s="167"/>
      <c r="BB81" s="167"/>
      <c r="BC81" s="167"/>
      <c r="BD81" s="167"/>
      <c r="BE81" s="167"/>
      <c r="BF81" s="167"/>
      <c r="BG81" s="167"/>
      <c r="BH81" s="167">
        <v>13.799999999999983</v>
      </c>
      <c r="BI81" s="167">
        <v>-1.9999760705065888</v>
      </c>
      <c r="BJ81" s="167"/>
      <c r="BK81" s="167"/>
      <c r="BL81" s="167"/>
      <c r="BM81" s="26"/>
      <c r="BN81" s="26"/>
    </row>
    <row r="82" spans="1:66">
      <c r="A82" s="26"/>
      <c r="B82" s="26"/>
      <c r="C82" s="26"/>
      <c r="D82" s="26"/>
      <c r="E82" s="26"/>
      <c r="F82" s="26"/>
      <c r="G82" s="26"/>
      <c r="H82" s="26"/>
      <c r="I82" s="26"/>
      <c r="J82" s="26"/>
      <c r="K82" s="26"/>
      <c r="L82" s="26"/>
      <c r="M82" s="26"/>
      <c r="N82" s="26"/>
      <c r="O82" s="167">
        <v>13.999999999999982</v>
      </c>
      <c r="P82" s="167">
        <v>1.5098618588102804E-5</v>
      </c>
      <c r="Q82" s="167">
        <v>0.99998490138514362</v>
      </c>
      <c r="R82" s="167">
        <v>1.5098611124505813E-5</v>
      </c>
      <c r="S82" s="167">
        <v>3.7317984962440627E-12</v>
      </c>
      <c r="T82" s="167"/>
      <c r="U82" s="167"/>
      <c r="V82" s="167"/>
      <c r="W82" s="167"/>
      <c r="X82" s="555">
        <v>2.9664536646970432</v>
      </c>
      <c r="Y82" s="555"/>
      <c r="Z82" s="167"/>
      <c r="AA82" s="167"/>
      <c r="AB82" s="167"/>
      <c r="AC82" s="167"/>
      <c r="AD82" s="167"/>
      <c r="AE82" s="167"/>
      <c r="AF82" s="167"/>
      <c r="AG82" s="167"/>
      <c r="AH82" s="167"/>
      <c r="AI82" s="167"/>
      <c r="AJ82" s="167"/>
      <c r="AK82" s="167"/>
      <c r="AL82" s="167"/>
      <c r="AM82" s="167">
        <v>13.999999999999982</v>
      </c>
      <c r="AN82" s="167">
        <v>-6.5572521678154425E-6</v>
      </c>
      <c r="AO82" s="167">
        <v>-4.8210317887966765</v>
      </c>
      <c r="AP82" s="167">
        <v>-11.428007829368925</v>
      </c>
      <c r="AQ82" s="167"/>
      <c r="AR82" s="167"/>
      <c r="AS82" s="167"/>
      <c r="AT82" s="167"/>
      <c r="AU82" s="167">
        <v>0.47223451188900717</v>
      </c>
      <c r="AV82" s="167"/>
      <c r="AW82" s="167">
        <v>13.999999999999982</v>
      </c>
      <c r="AX82" s="167"/>
      <c r="AY82" s="167"/>
      <c r="AZ82" s="167"/>
      <c r="BA82" s="167"/>
      <c r="BB82" s="167"/>
      <c r="BC82" s="167"/>
      <c r="BD82" s="167"/>
      <c r="BE82" s="167"/>
      <c r="BF82" s="167"/>
      <c r="BG82" s="167"/>
      <c r="BH82" s="167">
        <v>13.999999999999982</v>
      </c>
      <c r="BI82" s="167">
        <v>-1.9999849013814119</v>
      </c>
      <c r="BJ82" s="167"/>
      <c r="BK82" s="167"/>
      <c r="BL82" s="167"/>
      <c r="BM82" s="26"/>
      <c r="BN82" s="26"/>
    </row>
    <row r="83" spans="1:66">
      <c r="A83" s="26"/>
      <c r="B83" s="26"/>
      <c r="C83" s="26"/>
      <c r="D83" s="26"/>
      <c r="E83" s="26"/>
      <c r="F83" s="26"/>
      <c r="G83" s="26"/>
      <c r="H83" s="26"/>
      <c r="I83" s="26"/>
      <c r="J83" s="26"/>
      <c r="K83" s="26"/>
      <c r="L83" s="26"/>
      <c r="M83" s="26"/>
      <c r="N83" s="26"/>
      <c r="O83" s="167"/>
      <c r="P83" s="167"/>
      <c r="Q83" s="167"/>
      <c r="R83" s="167"/>
      <c r="S83" s="167"/>
      <c r="T83" s="167"/>
      <c r="U83" s="167"/>
      <c r="V83" s="167"/>
      <c r="W83" s="167"/>
      <c r="X83" s="555"/>
      <c r="Y83" s="555"/>
      <c r="Z83" s="167"/>
      <c r="AA83" s="167"/>
      <c r="AB83" s="167"/>
      <c r="AC83" s="167"/>
      <c r="AD83" s="167"/>
      <c r="AE83" s="167"/>
      <c r="AF83" s="167"/>
      <c r="AG83" s="167"/>
      <c r="AH83" s="167"/>
      <c r="AI83" s="167"/>
      <c r="AJ83" s="167"/>
      <c r="AK83" s="167"/>
      <c r="AL83" s="167"/>
      <c r="AM83" s="167"/>
      <c r="AN83" s="167"/>
      <c r="AO83" s="167"/>
      <c r="AP83" s="167"/>
      <c r="AQ83" s="167"/>
      <c r="AR83" s="167"/>
      <c r="AS83" s="167"/>
      <c r="AT83" s="167"/>
      <c r="AU83" s="167"/>
      <c r="AV83" s="167"/>
      <c r="AW83" s="167"/>
      <c r="AX83" s="167"/>
      <c r="AY83" s="167"/>
      <c r="AZ83" s="167"/>
      <c r="BA83" s="167"/>
      <c r="BB83" s="167"/>
      <c r="BC83" s="167"/>
      <c r="BD83" s="167"/>
      <c r="BE83" s="167"/>
      <c r="BF83" s="167"/>
      <c r="BG83" s="167"/>
      <c r="BH83" s="167"/>
      <c r="BI83" s="167"/>
      <c r="BJ83" s="167"/>
      <c r="BK83" s="167"/>
      <c r="BL83" s="167"/>
      <c r="BM83" s="26"/>
      <c r="BN83" s="26"/>
    </row>
    <row r="84" spans="1:66">
      <c r="A84" s="26"/>
      <c r="B84" s="26"/>
      <c r="C84" s="26"/>
      <c r="D84" s="26"/>
      <c r="E84" s="26"/>
      <c r="F84" s="26"/>
      <c r="G84" s="26"/>
      <c r="H84" s="26"/>
      <c r="I84" s="26"/>
      <c r="J84" s="26"/>
      <c r="K84" s="26"/>
      <c r="L84" s="26"/>
      <c r="M84" s="26"/>
      <c r="N84" s="26"/>
      <c r="O84" s="167"/>
      <c r="P84" s="167"/>
      <c r="Q84" s="167"/>
      <c r="R84" s="167"/>
      <c r="S84" s="167"/>
      <c r="T84" s="167"/>
      <c r="U84" s="167"/>
      <c r="V84" s="167"/>
      <c r="W84" s="167"/>
      <c r="X84" s="555"/>
      <c r="Y84" s="555"/>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c r="BB84" s="167"/>
      <c r="BC84" s="167"/>
      <c r="BD84" s="167"/>
      <c r="BE84" s="167"/>
      <c r="BF84" s="167"/>
      <c r="BG84" s="167"/>
      <c r="BH84" s="167"/>
      <c r="BI84" s="167"/>
      <c r="BJ84" s="167"/>
      <c r="BK84" s="167"/>
      <c r="BL84" s="167"/>
      <c r="BM84" s="26"/>
      <c r="BN84" s="26"/>
    </row>
    <row r="85" spans="1:66">
      <c r="A85" s="26"/>
      <c r="B85" s="26"/>
      <c r="C85" s="26"/>
      <c r="D85" s="26"/>
      <c r="E85" s="26"/>
      <c r="F85" s="26"/>
      <c r="G85" s="26"/>
      <c r="H85" s="26"/>
      <c r="I85" s="26"/>
      <c r="J85" s="26"/>
      <c r="K85" s="26"/>
      <c r="L85" s="26"/>
      <c r="M85" s="26"/>
      <c r="N85" s="26"/>
      <c r="O85" s="167"/>
      <c r="P85" s="167"/>
      <c r="Q85" s="167"/>
      <c r="R85" s="167"/>
      <c r="S85" s="167"/>
      <c r="T85" s="167"/>
      <c r="U85" s="167"/>
      <c r="V85" s="167"/>
      <c r="W85" s="167"/>
      <c r="X85" s="555"/>
      <c r="Y85" s="555"/>
      <c r="Z85" s="167"/>
      <c r="AA85" s="167"/>
      <c r="AB85" s="167"/>
      <c r="AC85" s="167"/>
      <c r="AD85" s="167"/>
      <c r="AE85" s="167"/>
      <c r="AF85" s="167"/>
      <c r="AG85" s="167"/>
      <c r="AH85" s="167"/>
      <c r="AI85" s="167"/>
      <c r="AJ85" s="167"/>
      <c r="AK85" s="167"/>
      <c r="AL85" s="167"/>
      <c r="AM85" s="167"/>
      <c r="AN85" s="167"/>
      <c r="AO85" s="167"/>
      <c r="AP85" s="167"/>
      <c r="AQ85" s="167"/>
      <c r="AR85" s="167"/>
      <c r="AS85" s="167"/>
      <c r="AT85" s="167"/>
      <c r="AU85" s="167"/>
      <c r="AV85" s="167"/>
      <c r="AW85" s="167"/>
      <c r="AX85" s="167"/>
      <c r="AY85" s="167"/>
      <c r="AZ85" s="167"/>
      <c r="BA85" s="167"/>
      <c r="BB85" s="167"/>
      <c r="BC85" s="167"/>
      <c r="BD85" s="167"/>
      <c r="BE85" s="167"/>
      <c r="BF85" s="167"/>
      <c r="BG85" s="167"/>
      <c r="BH85" s="167"/>
      <c r="BI85" s="167"/>
      <c r="BJ85" s="167"/>
      <c r="BK85" s="167"/>
      <c r="BL85" s="167"/>
      <c r="BM85" s="26"/>
      <c r="BN85" s="26"/>
    </row>
    <row r="86" spans="1:66">
      <c r="A86" s="26"/>
      <c r="B86" s="26"/>
      <c r="C86" s="26"/>
      <c r="D86" s="26"/>
      <c r="E86" s="26"/>
      <c r="F86" s="26"/>
      <c r="G86" s="26"/>
      <c r="H86" s="26"/>
      <c r="I86" s="26"/>
      <c r="J86" s="26"/>
      <c r="K86" s="26"/>
      <c r="L86" s="26"/>
      <c r="M86" s="26"/>
      <c r="N86" s="26"/>
      <c r="O86" s="167"/>
      <c r="P86" s="167"/>
      <c r="Q86" s="167"/>
      <c r="R86" s="167"/>
      <c r="S86" s="167"/>
      <c r="T86" s="167"/>
      <c r="U86" s="167"/>
      <c r="V86" s="167"/>
      <c r="W86" s="167"/>
      <c r="X86" s="555"/>
      <c r="Y86" s="555"/>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26"/>
      <c r="BN86" s="26"/>
    </row>
    <row r="87" spans="1:66">
      <c r="A87" s="26"/>
      <c r="B87" s="26"/>
      <c r="C87" s="26"/>
      <c r="D87" s="26"/>
      <c r="E87" s="26"/>
      <c r="F87" s="26"/>
      <c r="G87" s="26"/>
      <c r="H87" s="26"/>
      <c r="I87" s="26"/>
      <c r="J87" s="26"/>
      <c r="K87" s="26"/>
      <c r="L87" s="26"/>
      <c r="M87" s="26"/>
      <c r="N87" s="26"/>
      <c r="O87" s="167"/>
      <c r="P87" s="167"/>
      <c r="Q87" s="167"/>
      <c r="R87" s="167"/>
      <c r="S87" s="167"/>
      <c r="T87" s="167"/>
      <c r="U87" s="167"/>
      <c r="V87" s="167"/>
      <c r="W87" s="167"/>
      <c r="X87" s="555"/>
      <c r="Y87" s="555"/>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26"/>
      <c r="BN87" s="26"/>
    </row>
    <row r="88" spans="1:66">
      <c r="A88" s="26"/>
      <c r="B88" s="26"/>
      <c r="C88" s="26"/>
      <c r="D88" s="26"/>
      <c r="E88" s="26"/>
      <c r="F88" s="26"/>
      <c r="G88" s="26"/>
      <c r="H88" s="26"/>
      <c r="I88" s="26"/>
      <c r="J88" s="26"/>
      <c r="K88" s="26"/>
      <c r="L88" s="26"/>
      <c r="M88" s="26"/>
      <c r="N88" s="26"/>
      <c r="O88" s="167"/>
      <c r="P88" s="167"/>
      <c r="Q88" s="167"/>
      <c r="R88" s="167"/>
      <c r="S88" s="167"/>
      <c r="T88" s="167"/>
      <c r="U88" s="167"/>
      <c r="V88" s="167"/>
      <c r="W88" s="167"/>
      <c r="X88" s="555"/>
      <c r="Y88" s="555"/>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26"/>
      <c r="BN88" s="26"/>
    </row>
    <row r="89" spans="1:66">
      <c r="A89" s="26"/>
      <c r="B89" s="26"/>
      <c r="C89" s="26"/>
      <c r="D89" s="26"/>
      <c r="E89" s="26"/>
      <c r="F89" s="26"/>
      <c r="G89" s="26"/>
      <c r="H89" s="26"/>
      <c r="I89" s="26"/>
      <c r="J89" s="26"/>
      <c r="K89" s="26"/>
      <c r="L89" s="26"/>
      <c r="M89" s="26"/>
      <c r="N89" s="26"/>
      <c r="O89" s="167"/>
      <c r="P89" s="167"/>
      <c r="Q89" s="167"/>
      <c r="R89" s="167"/>
      <c r="S89" s="167"/>
      <c r="T89" s="167"/>
      <c r="U89" s="167"/>
      <c r="V89" s="167"/>
      <c r="W89" s="167"/>
      <c r="X89" s="555"/>
      <c r="Y89" s="555"/>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26"/>
      <c r="BN89" s="26"/>
    </row>
    <row r="90" spans="1:66">
      <c r="A90" s="26"/>
      <c r="B90" s="26"/>
      <c r="C90" s="26"/>
      <c r="D90" s="26"/>
      <c r="E90" s="26"/>
      <c r="F90" s="26"/>
      <c r="G90" s="26"/>
      <c r="H90" s="26"/>
      <c r="I90" s="26"/>
      <c r="J90" s="26"/>
      <c r="K90" s="26"/>
      <c r="L90" s="26"/>
      <c r="M90" s="26"/>
      <c r="N90" s="26"/>
      <c r="O90" s="167"/>
      <c r="P90" s="167"/>
      <c r="Q90" s="167"/>
      <c r="R90" s="167"/>
      <c r="S90" s="167"/>
      <c r="T90" s="167"/>
      <c r="U90" s="167"/>
      <c r="V90" s="167"/>
      <c r="W90" s="167"/>
      <c r="X90" s="555"/>
      <c r="Y90" s="555"/>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26"/>
      <c r="BN90" s="26"/>
    </row>
    <row r="91" spans="1:66">
      <c r="A91" s="26"/>
      <c r="B91" s="26"/>
      <c r="C91" s="26"/>
      <c r="D91" s="26"/>
      <c r="E91" s="26"/>
      <c r="F91" s="26"/>
      <c r="G91" s="26"/>
      <c r="H91" s="26"/>
      <c r="I91" s="26"/>
      <c r="J91" s="26"/>
      <c r="K91" s="26"/>
      <c r="L91" s="26"/>
      <c r="M91" s="26"/>
      <c r="N91" s="26"/>
      <c r="O91" s="167"/>
      <c r="P91" s="167"/>
      <c r="Q91" s="167"/>
      <c r="R91" s="167"/>
      <c r="S91" s="167"/>
      <c r="T91" s="167"/>
      <c r="U91" s="167"/>
      <c r="V91" s="167"/>
      <c r="W91" s="167"/>
      <c r="X91" s="555"/>
      <c r="Y91" s="555"/>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26"/>
      <c r="BN91" s="26"/>
    </row>
    <row r="92" spans="1:66">
      <c r="A92" s="26"/>
      <c r="B92" s="26"/>
      <c r="C92" s="26"/>
      <c r="D92" s="26"/>
      <c r="E92" s="26"/>
      <c r="F92" s="26"/>
      <c r="G92" s="26"/>
      <c r="H92" s="26"/>
      <c r="I92" s="26"/>
      <c r="J92" s="26"/>
      <c r="K92" s="26"/>
      <c r="L92" s="26"/>
      <c r="M92" s="26"/>
      <c r="N92" s="26"/>
      <c r="O92" s="167"/>
      <c r="P92" s="167"/>
      <c r="Q92" s="167"/>
      <c r="R92" s="167"/>
      <c r="S92" s="167"/>
      <c r="T92" s="167"/>
      <c r="U92" s="167"/>
      <c r="V92" s="167"/>
      <c r="W92" s="167"/>
      <c r="X92" s="555"/>
      <c r="Y92" s="555"/>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7"/>
      <c r="BI92" s="167"/>
      <c r="BJ92" s="167"/>
      <c r="BK92" s="167"/>
      <c r="BL92" s="167"/>
      <c r="BM92" s="26"/>
      <c r="BN92" s="26"/>
    </row>
    <row r="93" spans="1:66">
      <c r="A93" s="26"/>
      <c r="B93" s="26"/>
      <c r="C93" s="26"/>
      <c r="D93" s="26"/>
      <c r="E93" s="26"/>
      <c r="F93" s="26"/>
      <c r="G93" s="26"/>
      <c r="H93" s="26"/>
      <c r="I93" s="26"/>
      <c r="J93" s="26"/>
      <c r="K93" s="26"/>
      <c r="L93" s="26"/>
      <c r="M93" s="26"/>
      <c r="N93" s="26"/>
      <c r="O93" s="167"/>
      <c r="P93" s="167"/>
      <c r="Q93" s="167"/>
      <c r="R93" s="167"/>
      <c r="S93" s="167"/>
      <c r="T93" s="167"/>
      <c r="U93" s="167"/>
      <c r="V93" s="167"/>
      <c r="W93" s="167"/>
      <c r="X93" s="555"/>
      <c r="Y93" s="555"/>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c r="BB93" s="167"/>
      <c r="BC93" s="167"/>
      <c r="BD93" s="167"/>
      <c r="BE93" s="167"/>
      <c r="BF93" s="167"/>
      <c r="BG93" s="167"/>
      <c r="BH93" s="167"/>
      <c r="BI93" s="167"/>
      <c r="BJ93" s="167"/>
      <c r="BK93" s="167"/>
      <c r="BL93" s="167"/>
      <c r="BM93" s="26"/>
      <c r="BN93" s="26"/>
    </row>
    <row r="94" spans="1:66">
      <c r="A94" s="26"/>
      <c r="B94" s="26"/>
      <c r="C94" s="26"/>
      <c r="D94" s="26"/>
      <c r="E94" s="26"/>
      <c r="F94" s="26"/>
      <c r="G94" s="26"/>
      <c r="H94" s="26"/>
      <c r="I94" s="26"/>
      <c r="J94" s="26"/>
      <c r="K94" s="26"/>
      <c r="L94" s="26"/>
      <c r="M94" s="26"/>
      <c r="N94" s="26"/>
      <c r="O94" s="167"/>
      <c r="P94" s="167"/>
      <c r="Q94" s="167"/>
      <c r="R94" s="167"/>
      <c r="S94" s="167"/>
      <c r="T94" s="167"/>
      <c r="U94" s="167"/>
      <c r="V94" s="167"/>
      <c r="W94" s="167"/>
      <c r="X94" s="555"/>
      <c r="Y94" s="555"/>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7"/>
      <c r="BI94" s="167"/>
      <c r="BJ94" s="167"/>
      <c r="BK94" s="167"/>
      <c r="BL94" s="167"/>
      <c r="BM94" s="26"/>
      <c r="BN94" s="26"/>
    </row>
    <row r="95" spans="1:66">
      <c r="A95" s="26"/>
      <c r="B95" s="26"/>
      <c r="C95" s="26"/>
      <c r="D95" s="26"/>
      <c r="E95" s="26"/>
      <c r="F95" s="26"/>
      <c r="G95" s="26"/>
      <c r="H95" s="26"/>
      <c r="I95" s="26"/>
      <c r="J95" s="26"/>
      <c r="K95" s="26"/>
      <c r="L95" s="26"/>
      <c r="M95" s="26"/>
      <c r="N95" s="26"/>
      <c r="O95" s="167"/>
      <c r="P95" s="167"/>
      <c r="Q95" s="167"/>
      <c r="R95" s="167"/>
      <c r="S95" s="167"/>
      <c r="T95" s="167"/>
      <c r="U95" s="167"/>
      <c r="V95" s="167"/>
      <c r="W95" s="167"/>
      <c r="X95" s="555"/>
      <c r="Y95" s="555"/>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c r="BB95" s="167"/>
      <c r="BC95" s="167"/>
      <c r="BD95" s="167"/>
      <c r="BE95" s="167"/>
      <c r="BF95" s="167"/>
      <c r="BG95" s="167"/>
      <c r="BH95" s="167"/>
      <c r="BI95" s="167"/>
      <c r="BJ95" s="167"/>
      <c r="BK95" s="167"/>
      <c r="BL95" s="167"/>
      <c r="BM95" s="26"/>
      <c r="BN95" s="26"/>
    </row>
    <row r="96" spans="1:66">
      <c r="A96" s="26"/>
      <c r="B96" s="26"/>
      <c r="C96" s="26"/>
      <c r="D96" s="26"/>
      <c r="E96" s="26"/>
      <c r="F96" s="26"/>
      <c r="G96" s="26"/>
      <c r="H96" s="26"/>
      <c r="I96" s="26"/>
      <c r="J96" s="26"/>
      <c r="K96" s="26"/>
      <c r="L96" s="26"/>
      <c r="M96" s="26"/>
      <c r="N96" s="26"/>
      <c r="O96" s="167"/>
      <c r="P96" s="167"/>
      <c r="Q96" s="167"/>
      <c r="R96" s="167"/>
      <c r="S96" s="167"/>
      <c r="T96" s="167"/>
      <c r="U96" s="167"/>
      <c r="V96" s="167"/>
      <c r="W96" s="167"/>
      <c r="X96" s="555"/>
      <c r="Y96" s="555"/>
      <c r="Z96" s="167"/>
      <c r="AA96" s="167"/>
      <c r="AB96" s="167"/>
      <c r="AC96" s="167"/>
      <c r="AD96" s="167"/>
      <c r="AE96" s="167"/>
      <c r="AF96" s="167"/>
      <c r="AG96" s="167"/>
      <c r="AH96" s="167"/>
      <c r="AI96" s="167"/>
      <c r="AJ96" s="167"/>
      <c r="AK96" s="167"/>
      <c r="AL96" s="167"/>
      <c r="AM96" s="167"/>
      <c r="AN96" s="167"/>
      <c r="AO96" s="167"/>
      <c r="AP96" s="167"/>
      <c r="AQ96" s="167"/>
      <c r="AR96" s="167"/>
      <c r="AS96" s="167"/>
      <c r="AT96" s="167"/>
      <c r="AU96" s="167"/>
      <c r="AV96" s="167"/>
      <c r="AW96" s="167"/>
      <c r="AX96" s="167"/>
      <c r="AY96" s="167"/>
      <c r="AZ96" s="167"/>
      <c r="BA96" s="167"/>
      <c r="BB96" s="167"/>
      <c r="BC96" s="167"/>
      <c r="BD96" s="167"/>
      <c r="BE96" s="167"/>
      <c r="BF96" s="167"/>
      <c r="BG96" s="167"/>
      <c r="BH96" s="167"/>
      <c r="BI96" s="167"/>
      <c r="BJ96" s="167"/>
      <c r="BK96" s="167"/>
      <c r="BL96" s="167"/>
      <c r="BM96" s="26"/>
      <c r="BN96" s="26"/>
    </row>
    <row r="97" spans="1:66">
      <c r="A97" s="26"/>
      <c r="B97" s="26"/>
      <c r="C97" s="26"/>
      <c r="D97" s="26"/>
      <c r="E97" s="26"/>
      <c r="F97" s="26"/>
      <c r="G97" s="26"/>
      <c r="H97" s="26"/>
      <c r="I97" s="26"/>
      <c r="J97" s="26"/>
      <c r="K97" s="26"/>
      <c r="L97" s="26"/>
      <c r="M97" s="26"/>
      <c r="N97" s="26"/>
      <c r="O97" s="167"/>
      <c r="P97" s="167"/>
      <c r="Q97" s="167"/>
      <c r="R97" s="167"/>
      <c r="S97" s="167"/>
      <c r="T97" s="167"/>
      <c r="U97" s="167"/>
      <c r="V97" s="167"/>
      <c r="W97" s="167"/>
      <c r="X97" s="555"/>
      <c r="Y97" s="555"/>
      <c r="Z97" s="167"/>
      <c r="AA97" s="167"/>
      <c r="AB97" s="167"/>
      <c r="AC97" s="167"/>
      <c r="AD97" s="167"/>
      <c r="AE97" s="167"/>
      <c r="AF97" s="167"/>
      <c r="AG97" s="167"/>
      <c r="AH97" s="167"/>
      <c r="AI97" s="167"/>
      <c r="AJ97" s="167"/>
      <c r="AK97" s="167"/>
      <c r="AL97" s="167"/>
      <c r="AM97" s="167"/>
      <c r="AN97" s="167"/>
      <c r="AO97" s="167"/>
      <c r="AP97" s="167"/>
      <c r="AQ97" s="167"/>
      <c r="AR97" s="167"/>
      <c r="AS97" s="167"/>
      <c r="AT97" s="167"/>
      <c r="AU97" s="167"/>
      <c r="AV97" s="167"/>
      <c r="AW97" s="167"/>
      <c r="AX97" s="167"/>
      <c r="AY97" s="167"/>
      <c r="AZ97" s="167"/>
      <c r="BA97" s="167"/>
      <c r="BB97" s="167"/>
      <c r="BC97" s="167"/>
      <c r="BD97" s="167"/>
      <c r="BE97" s="167"/>
      <c r="BF97" s="167"/>
      <c r="BG97" s="167"/>
      <c r="BH97" s="167"/>
      <c r="BI97" s="167"/>
      <c r="BJ97" s="167"/>
      <c r="BK97" s="167"/>
      <c r="BL97" s="167"/>
      <c r="BM97" s="26"/>
      <c r="BN97" s="26"/>
    </row>
    <row r="98" spans="1:66">
      <c r="A98" s="26"/>
      <c r="B98" s="26"/>
      <c r="C98" s="26"/>
      <c r="D98" s="26"/>
      <c r="E98" s="26"/>
      <c r="F98" s="26"/>
      <c r="G98" s="26"/>
      <c r="H98" s="26"/>
      <c r="I98" s="26"/>
      <c r="J98" s="26"/>
      <c r="K98" s="26"/>
      <c r="L98" s="26"/>
      <c r="M98" s="26"/>
      <c r="N98" s="26"/>
      <c r="O98" s="167"/>
      <c r="P98" s="167"/>
      <c r="Q98" s="167"/>
      <c r="R98" s="167"/>
      <c r="S98" s="167"/>
      <c r="T98" s="167"/>
      <c r="U98" s="167"/>
      <c r="V98" s="167"/>
      <c r="W98" s="167"/>
      <c r="X98" s="555"/>
      <c r="Y98" s="555"/>
      <c r="Z98" s="167"/>
      <c r="AA98" s="167"/>
      <c r="AB98" s="167"/>
      <c r="AC98" s="167"/>
      <c r="AD98" s="167"/>
      <c r="AE98" s="167"/>
      <c r="AF98" s="167"/>
      <c r="AG98" s="167"/>
      <c r="AH98" s="167"/>
      <c r="AI98" s="167"/>
      <c r="AJ98" s="167"/>
      <c r="AK98" s="167"/>
      <c r="AL98" s="167"/>
      <c r="AM98" s="167"/>
      <c r="AN98" s="167"/>
      <c r="AO98" s="167"/>
      <c r="AP98" s="167"/>
      <c r="AQ98" s="167"/>
      <c r="AR98" s="167"/>
      <c r="AS98" s="167"/>
      <c r="AT98" s="167"/>
      <c r="AU98" s="167"/>
      <c r="AV98" s="167"/>
      <c r="AW98" s="167"/>
      <c r="AX98" s="167"/>
      <c r="AY98" s="167"/>
      <c r="AZ98" s="167"/>
      <c r="BA98" s="167"/>
      <c r="BB98" s="167"/>
      <c r="BC98" s="167"/>
      <c r="BD98" s="167"/>
      <c r="BE98" s="167"/>
      <c r="BF98" s="167"/>
      <c r="BG98" s="167"/>
      <c r="BH98" s="167"/>
      <c r="BI98" s="167"/>
      <c r="BJ98" s="167"/>
      <c r="BK98" s="167"/>
      <c r="BL98" s="167"/>
      <c r="BM98" s="26"/>
      <c r="BN98" s="26"/>
    </row>
    <row r="99" spans="1:66">
      <c r="A99" s="26"/>
      <c r="B99" s="26"/>
      <c r="C99" s="26"/>
      <c r="D99" s="26"/>
      <c r="E99" s="26"/>
      <c r="F99" s="26"/>
      <c r="G99" s="26"/>
      <c r="H99" s="26"/>
      <c r="I99" s="26"/>
      <c r="J99" s="26"/>
      <c r="K99" s="26"/>
      <c r="L99" s="26"/>
      <c r="M99" s="26"/>
      <c r="N99" s="26"/>
      <c r="O99" s="167"/>
      <c r="P99" s="167"/>
      <c r="Q99" s="167"/>
      <c r="R99" s="167"/>
      <c r="S99" s="167"/>
      <c r="T99" s="167"/>
      <c r="U99" s="167"/>
      <c r="V99" s="167"/>
      <c r="W99" s="167"/>
      <c r="X99" s="555"/>
      <c r="Y99" s="555"/>
      <c r="Z99" s="167"/>
      <c r="AA99" s="167"/>
      <c r="AB99" s="167"/>
      <c r="AC99" s="167"/>
      <c r="AD99" s="167"/>
      <c r="AE99" s="167"/>
      <c r="AF99" s="167"/>
      <c r="AG99" s="167"/>
      <c r="AH99" s="167"/>
      <c r="AI99" s="167"/>
      <c r="AJ99" s="167"/>
      <c r="AK99" s="167"/>
      <c r="AL99" s="167"/>
      <c r="AM99" s="167"/>
      <c r="AN99" s="167"/>
      <c r="AO99" s="167"/>
      <c r="AP99" s="167"/>
      <c r="AQ99" s="167"/>
      <c r="AR99" s="167"/>
      <c r="AS99" s="167"/>
      <c r="AT99" s="167"/>
      <c r="AU99" s="167"/>
      <c r="AV99" s="167"/>
      <c r="AW99" s="167"/>
      <c r="AX99" s="167"/>
      <c r="AY99" s="167"/>
      <c r="AZ99" s="167"/>
      <c r="BA99" s="167"/>
      <c r="BB99" s="167"/>
      <c r="BC99" s="167"/>
      <c r="BD99" s="167"/>
      <c r="BE99" s="167"/>
      <c r="BF99" s="167"/>
      <c r="BG99" s="167"/>
      <c r="BH99" s="167"/>
      <c r="BI99" s="167"/>
      <c r="BJ99" s="167"/>
      <c r="BK99" s="167"/>
      <c r="BL99" s="167"/>
      <c r="BM99" s="26"/>
      <c r="BN99" s="26"/>
    </row>
    <row r="100" spans="1:66">
      <c r="A100" s="26"/>
      <c r="B100" s="26"/>
      <c r="C100" s="26"/>
      <c r="D100" s="26"/>
      <c r="E100" s="26"/>
      <c r="F100" s="26"/>
      <c r="G100" s="26"/>
      <c r="H100" s="26"/>
      <c r="I100" s="26"/>
      <c r="J100" s="26"/>
      <c r="K100" s="26"/>
      <c r="L100" s="26"/>
      <c r="M100" s="26"/>
      <c r="N100" s="26"/>
      <c r="O100" s="167"/>
      <c r="P100" s="167"/>
      <c r="Q100" s="167"/>
      <c r="R100" s="167"/>
      <c r="S100" s="167"/>
      <c r="T100" s="167"/>
      <c r="U100" s="167"/>
      <c r="V100" s="167"/>
      <c r="W100" s="167"/>
      <c r="X100" s="555"/>
      <c r="Y100" s="555"/>
      <c r="Z100" s="167"/>
      <c r="AA100" s="167"/>
      <c r="AB100" s="167"/>
      <c r="AC100" s="167"/>
      <c r="AD100" s="167"/>
      <c r="AE100" s="167"/>
      <c r="AF100" s="167"/>
      <c r="AG100" s="167"/>
      <c r="AH100" s="167"/>
      <c r="AI100" s="167"/>
      <c r="AJ100" s="167"/>
      <c r="AK100" s="167"/>
      <c r="AL100" s="167"/>
      <c r="AM100" s="167"/>
      <c r="AN100" s="167"/>
      <c r="AO100" s="167"/>
      <c r="AP100" s="167"/>
      <c r="AQ100" s="167"/>
      <c r="AR100" s="167"/>
      <c r="AS100" s="167"/>
      <c r="AT100" s="167"/>
      <c r="AU100" s="167"/>
      <c r="AV100" s="167"/>
      <c r="AW100" s="167"/>
      <c r="AX100" s="167"/>
      <c r="AY100" s="167"/>
      <c r="AZ100" s="167"/>
      <c r="BA100" s="167"/>
      <c r="BB100" s="167"/>
      <c r="BC100" s="167"/>
      <c r="BD100" s="167"/>
      <c r="BE100" s="167"/>
      <c r="BF100" s="167"/>
      <c r="BG100" s="167"/>
      <c r="BH100" s="167"/>
      <c r="BI100" s="167"/>
      <c r="BJ100" s="167"/>
      <c r="BK100" s="167"/>
      <c r="BL100" s="167"/>
      <c r="BM100" s="26"/>
      <c r="BN100" s="26"/>
    </row>
    <row r="101" spans="1:66">
      <c r="A101" s="26"/>
      <c r="B101" s="26"/>
      <c r="C101" s="26"/>
      <c r="D101" s="26"/>
      <c r="E101" s="26"/>
      <c r="F101" s="26"/>
      <c r="G101" s="26"/>
      <c r="H101" s="26"/>
      <c r="I101" s="26"/>
      <c r="J101" s="26"/>
      <c r="K101" s="26"/>
      <c r="L101" s="26"/>
      <c r="M101" s="26"/>
      <c r="N101" s="26"/>
      <c r="O101" s="167"/>
      <c r="P101" s="167"/>
      <c r="Q101" s="167"/>
      <c r="R101" s="167"/>
      <c r="S101" s="167"/>
      <c r="T101" s="167"/>
      <c r="U101" s="167"/>
      <c r="V101" s="167"/>
      <c r="W101" s="167"/>
      <c r="X101" s="555"/>
      <c r="Y101" s="555"/>
      <c r="Z101" s="167"/>
      <c r="AA101" s="167"/>
      <c r="AB101" s="167"/>
      <c r="AC101" s="167"/>
      <c r="AD101" s="167"/>
      <c r="AE101" s="167"/>
      <c r="AF101" s="167"/>
      <c r="AG101" s="167"/>
      <c r="AH101" s="167"/>
      <c r="AI101" s="167"/>
      <c r="AJ101" s="167"/>
      <c r="AK101" s="167"/>
      <c r="AL101" s="167"/>
      <c r="AM101" s="167"/>
      <c r="AN101" s="167"/>
      <c r="AO101" s="167"/>
      <c r="AP101" s="167"/>
      <c r="AQ101" s="167"/>
      <c r="AR101" s="167"/>
      <c r="AS101" s="167"/>
      <c r="AT101" s="167"/>
      <c r="AU101" s="167"/>
      <c r="AV101" s="167"/>
      <c r="AW101" s="167"/>
      <c r="AX101" s="167"/>
      <c r="AY101" s="167"/>
      <c r="AZ101" s="167"/>
      <c r="BA101" s="167"/>
      <c r="BB101" s="167"/>
      <c r="BC101" s="167"/>
      <c r="BD101" s="167"/>
      <c r="BE101" s="167"/>
      <c r="BF101" s="167"/>
      <c r="BG101" s="167"/>
      <c r="BH101" s="167"/>
      <c r="BI101" s="167"/>
      <c r="BJ101" s="167"/>
      <c r="BK101" s="167"/>
      <c r="BL101" s="167"/>
      <c r="BM101" s="26"/>
      <c r="BN101" s="26"/>
    </row>
    <row r="102" spans="1:66">
      <c r="A102" s="26"/>
      <c r="B102" s="26"/>
      <c r="C102" s="26"/>
      <c r="D102" s="26"/>
      <c r="E102" s="26"/>
      <c r="F102" s="26"/>
      <c r="G102" s="26"/>
      <c r="H102" s="26"/>
      <c r="I102" s="26"/>
      <c r="J102" s="26"/>
      <c r="K102" s="26"/>
      <c r="L102" s="26"/>
      <c r="M102" s="26"/>
      <c r="N102" s="26"/>
      <c r="O102" s="167"/>
      <c r="P102" s="167"/>
      <c r="Q102" s="167"/>
      <c r="R102" s="167"/>
      <c r="S102" s="167"/>
      <c r="T102" s="167"/>
      <c r="U102" s="167"/>
      <c r="V102" s="167"/>
      <c r="W102" s="167"/>
      <c r="X102" s="555"/>
      <c r="Y102" s="555"/>
      <c r="Z102" s="167"/>
      <c r="AA102" s="167"/>
      <c r="AB102" s="167"/>
      <c r="AC102" s="167"/>
      <c r="AD102" s="167"/>
      <c r="AE102" s="167"/>
      <c r="AF102" s="167"/>
      <c r="AG102" s="167"/>
      <c r="AH102" s="167"/>
      <c r="AI102" s="167"/>
      <c r="AJ102" s="167"/>
      <c r="AK102" s="167"/>
      <c r="AL102" s="167"/>
      <c r="AM102" s="167"/>
      <c r="AN102" s="167"/>
      <c r="AO102" s="167"/>
      <c r="AP102" s="167"/>
      <c r="AQ102" s="167"/>
      <c r="AR102" s="167"/>
      <c r="AS102" s="167"/>
      <c r="AT102" s="167"/>
      <c r="AU102" s="167"/>
      <c r="AV102" s="167"/>
      <c r="AW102" s="167"/>
      <c r="AX102" s="167"/>
      <c r="AY102" s="167"/>
      <c r="AZ102" s="167"/>
      <c r="BA102" s="167"/>
      <c r="BB102" s="167"/>
      <c r="BC102" s="167"/>
      <c r="BD102" s="167"/>
      <c r="BE102" s="167"/>
      <c r="BF102" s="167"/>
      <c r="BG102" s="167"/>
      <c r="BH102" s="167"/>
      <c r="BI102" s="167"/>
      <c r="BJ102" s="167"/>
      <c r="BK102" s="167"/>
      <c r="BL102" s="167"/>
      <c r="BM102" s="26"/>
      <c r="BN102" s="26"/>
    </row>
    <row r="103" spans="1:66">
      <c r="A103" s="26"/>
      <c r="B103" s="26"/>
      <c r="C103" s="26"/>
      <c r="D103" s="26"/>
      <c r="E103" s="26"/>
      <c r="F103" s="26"/>
      <c r="G103" s="26"/>
      <c r="H103" s="26"/>
      <c r="I103" s="26"/>
      <c r="J103" s="26"/>
      <c r="K103" s="26"/>
      <c r="L103" s="26"/>
      <c r="M103" s="26"/>
      <c r="N103" s="26"/>
      <c r="O103" s="167"/>
      <c r="P103" s="167"/>
      <c r="Q103" s="167"/>
      <c r="R103" s="167"/>
      <c r="S103" s="167"/>
      <c r="T103" s="167"/>
      <c r="U103" s="167"/>
      <c r="V103" s="167"/>
      <c r="W103" s="167"/>
      <c r="X103" s="555"/>
      <c r="Y103" s="555"/>
      <c r="Z103" s="167"/>
      <c r="AA103" s="167"/>
      <c r="AB103" s="167"/>
      <c r="AC103" s="167"/>
      <c r="AD103" s="167"/>
      <c r="AE103" s="167"/>
      <c r="AF103" s="167"/>
      <c r="AG103" s="167"/>
      <c r="AH103" s="167"/>
      <c r="AI103" s="167"/>
      <c r="AJ103" s="167"/>
      <c r="AK103" s="167"/>
      <c r="AL103" s="167"/>
      <c r="AM103" s="167"/>
      <c r="AN103" s="167"/>
      <c r="AO103" s="167"/>
      <c r="AP103" s="167"/>
      <c r="AQ103" s="167"/>
      <c r="AR103" s="167"/>
      <c r="AS103" s="167"/>
      <c r="AT103" s="167"/>
      <c r="AU103" s="167"/>
      <c r="AV103" s="167"/>
      <c r="AW103" s="167"/>
      <c r="AX103" s="167"/>
      <c r="AY103" s="167"/>
      <c r="AZ103" s="167"/>
      <c r="BA103" s="167"/>
      <c r="BB103" s="167"/>
      <c r="BC103" s="167"/>
      <c r="BD103" s="167"/>
      <c r="BE103" s="167"/>
      <c r="BF103" s="167"/>
      <c r="BG103" s="167"/>
      <c r="BH103" s="167"/>
      <c r="BI103" s="167"/>
      <c r="BJ103" s="167"/>
      <c r="BK103" s="167"/>
      <c r="BL103" s="167"/>
      <c r="BM103" s="26"/>
      <c r="BN103" s="26"/>
    </row>
    <row r="104" spans="1:66">
      <c r="A104" s="26"/>
      <c r="B104" s="26"/>
      <c r="C104" s="26"/>
      <c r="D104" s="26"/>
      <c r="E104" s="26"/>
      <c r="F104" s="26"/>
      <c r="G104" s="26"/>
      <c r="H104" s="26"/>
      <c r="I104" s="26"/>
      <c r="J104" s="26"/>
      <c r="K104" s="26"/>
      <c r="L104" s="26"/>
      <c r="M104" s="26"/>
      <c r="N104" s="26"/>
      <c r="O104" s="167"/>
      <c r="P104" s="167"/>
      <c r="Q104" s="167"/>
      <c r="R104" s="167"/>
      <c r="S104" s="167"/>
      <c r="T104" s="167"/>
      <c r="U104" s="167"/>
      <c r="V104" s="167"/>
      <c r="W104" s="167"/>
      <c r="X104" s="555"/>
      <c r="Y104" s="555"/>
      <c r="Z104" s="167"/>
      <c r="AA104" s="167"/>
      <c r="AB104" s="167"/>
      <c r="AC104" s="167"/>
      <c r="AD104" s="167"/>
      <c r="AE104" s="167"/>
      <c r="AF104" s="167"/>
      <c r="AG104" s="167"/>
      <c r="AH104" s="167"/>
      <c r="AI104" s="167"/>
      <c r="AJ104" s="167"/>
      <c r="AK104" s="167"/>
      <c r="AL104" s="167"/>
      <c r="AM104" s="167"/>
      <c r="AN104" s="167"/>
      <c r="AO104" s="167"/>
      <c r="AP104" s="167"/>
      <c r="AQ104" s="167"/>
      <c r="AR104" s="167"/>
      <c r="AS104" s="167"/>
      <c r="AT104" s="167"/>
      <c r="AU104" s="167"/>
      <c r="AV104" s="167"/>
      <c r="AW104" s="167"/>
      <c r="AX104" s="167"/>
      <c r="AY104" s="167"/>
      <c r="AZ104" s="167"/>
      <c r="BA104" s="167"/>
      <c r="BB104" s="167"/>
      <c r="BC104" s="167"/>
      <c r="BD104" s="167"/>
      <c r="BE104" s="167"/>
      <c r="BF104" s="167"/>
      <c r="BG104" s="167"/>
      <c r="BH104" s="167"/>
      <c r="BI104" s="167"/>
      <c r="BJ104" s="167"/>
      <c r="BK104" s="167"/>
      <c r="BL104" s="167"/>
      <c r="BM104" s="26"/>
      <c r="BN104" s="26"/>
    </row>
    <row r="105" spans="1:66">
      <c r="A105" s="26"/>
      <c r="B105" s="26"/>
      <c r="C105" s="26"/>
      <c r="D105" s="26"/>
      <c r="E105" s="26"/>
      <c r="F105" s="26"/>
      <c r="G105" s="26"/>
      <c r="H105" s="26"/>
      <c r="I105" s="26"/>
      <c r="J105" s="26"/>
      <c r="K105" s="26"/>
      <c r="L105" s="26"/>
      <c r="M105" s="26"/>
      <c r="N105" s="26"/>
      <c r="O105" s="167"/>
      <c r="P105" s="167"/>
      <c r="Q105" s="167"/>
      <c r="R105" s="167"/>
      <c r="S105" s="167"/>
      <c r="T105" s="167"/>
      <c r="U105" s="167"/>
      <c r="V105" s="167"/>
      <c r="W105" s="167"/>
      <c r="X105" s="555"/>
      <c r="Y105" s="555"/>
      <c r="Z105" s="167"/>
      <c r="AA105" s="167"/>
      <c r="AB105" s="167"/>
      <c r="AC105" s="167"/>
      <c r="AD105" s="167"/>
      <c r="AE105" s="167"/>
      <c r="AF105" s="167"/>
      <c r="AG105" s="167"/>
      <c r="AH105" s="167"/>
      <c r="AI105" s="167"/>
      <c r="AJ105" s="167"/>
      <c r="AK105" s="167"/>
      <c r="AL105" s="167"/>
      <c r="AM105" s="167"/>
      <c r="AN105" s="167"/>
      <c r="AO105" s="167"/>
      <c r="AP105" s="167"/>
      <c r="AQ105" s="167"/>
      <c r="AR105" s="167"/>
      <c r="AS105" s="167"/>
      <c r="AT105" s="167"/>
      <c r="AU105" s="167"/>
      <c r="AV105" s="167"/>
      <c r="AW105" s="167"/>
      <c r="AX105" s="167"/>
      <c r="AY105" s="167"/>
      <c r="AZ105" s="167"/>
      <c r="BA105" s="167"/>
      <c r="BB105" s="167"/>
      <c r="BC105" s="167"/>
      <c r="BD105" s="167"/>
      <c r="BE105" s="167"/>
      <c r="BF105" s="167"/>
      <c r="BG105" s="167"/>
      <c r="BH105" s="167"/>
      <c r="BI105" s="167"/>
      <c r="BJ105" s="167"/>
      <c r="BK105" s="167"/>
      <c r="BL105" s="167"/>
      <c r="BM105" s="26"/>
      <c r="BN105" s="26"/>
    </row>
    <row r="106" spans="1:66">
      <c r="A106" s="26"/>
      <c r="B106" s="26"/>
      <c r="C106" s="26"/>
      <c r="D106" s="26"/>
      <c r="E106" s="26"/>
      <c r="F106" s="26"/>
      <c r="G106" s="26"/>
      <c r="H106" s="26"/>
      <c r="I106" s="26"/>
      <c r="J106" s="26"/>
      <c r="K106" s="26"/>
      <c r="L106" s="26"/>
      <c r="M106" s="26"/>
      <c r="N106" s="26"/>
      <c r="O106" s="167"/>
      <c r="P106" s="167"/>
      <c r="Q106" s="167"/>
      <c r="R106" s="167"/>
      <c r="S106" s="167"/>
      <c r="T106" s="167"/>
      <c r="U106" s="167"/>
      <c r="V106" s="167"/>
      <c r="W106" s="167"/>
      <c r="X106" s="555"/>
      <c r="Y106" s="555"/>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67"/>
      <c r="AY106" s="167"/>
      <c r="AZ106" s="167"/>
      <c r="BA106" s="167"/>
      <c r="BB106" s="167"/>
      <c r="BC106" s="167"/>
      <c r="BD106" s="167"/>
      <c r="BE106" s="167"/>
      <c r="BF106" s="167"/>
      <c r="BG106" s="167"/>
      <c r="BH106" s="167"/>
      <c r="BI106" s="167"/>
      <c r="BJ106" s="167"/>
      <c r="BK106" s="167"/>
      <c r="BL106" s="167"/>
      <c r="BM106" s="26"/>
      <c r="BN106" s="26"/>
    </row>
    <row r="107" spans="1:66">
      <c r="A107" s="26"/>
      <c r="B107" s="26"/>
      <c r="C107" s="26"/>
      <c r="D107" s="26"/>
      <c r="E107" s="26"/>
      <c r="F107" s="26"/>
      <c r="G107" s="26"/>
      <c r="H107" s="26"/>
      <c r="I107" s="26"/>
      <c r="J107" s="26"/>
      <c r="K107" s="26"/>
      <c r="L107" s="26"/>
      <c r="M107" s="26"/>
      <c r="N107" s="26"/>
      <c r="O107" s="167"/>
      <c r="P107" s="167"/>
      <c r="Q107" s="167"/>
      <c r="R107" s="167"/>
      <c r="S107" s="167"/>
      <c r="T107" s="167"/>
      <c r="U107" s="167"/>
      <c r="V107" s="167"/>
      <c r="W107" s="167"/>
      <c r="X107" s="555"/>
      <c r="Y107" s="555"/>
      <c r="Z107" s="167"/>
      <c r="AA107" s="167"/>
      <c r="AB107" s="167"/>
      <c r="AC107" s="167"/>
      <c r="AD107" s="167"/>
      <c r="AE107" s="167"/>
      <c r="AF107" s="167"/>
      <c r="AG107" s="167"/>
      <c r="AH107" s="167"/>
      <c r="AI107" s="167"/>
      <c r="AJ107" s="167"/>
      <c r="AK107" s="167"/>
      <c r="AL107" s="167"/>
      <c r="AM107" s="167"/>
      <c r="AN107" s="167"/>
      <c r="AO107" s="167"/>
      <c r="AP107" s="167"/>
      <c r="AQ107" s="167"/>
      <c r="AR107" s="167"/>
      <c r="AS107" s="167"/>
      <c r="AT107" s="167"/>
      <c r="AU107" s="167"/>
      <c r="AV107" s="167"/>
      <c r="AW107" s="167"/>
      <c r="AX107" s="167"/>
      <c r="AY107" s="167"/>
      <c r="AZ107" s="167"/>
      <c r="BA107" s="167"/>
      <c r="BB107" s="167"/>
      <c r="BC107" s="167"/>
      <c r="BD107" s="167"/>
      <c r="BE107" s="167"/>
      <c r="BF107" s="167"/>
      <c r="BG107" s="167"/>
      <c r="BH107" s="167"/>
      <c r="BI107" s="167"/>
      <c r="BJ107" s="167"/>
      <c r="BK107" s="167"/>
      <c r="BL107" s="167"/>
      <c r="BM107" s="26"/>
      <c r="BN107" s="26"/>
    </row>
    <row r="108" spans="1:66">
      <c r="A108" s="26"/>
      <c r="B108" s="26"/>
      <c r="C108" s="26"/>
      <c r="D108" s="26"/>
      <c r="E108" s="26"/>
      <c r="F108" s="26"/>
      <c r="G108" s="26"/>
      <c r="H108" s="26"/>
      <c r="I108" s="26"/>
      <c r="J108" s="26"/>
      <c r="K108" s="26"/>
      <c r="L108" s="26"/>
      <c r="M108" s="26"/>
      <c r="N108" s="26"/>
      <c r="O108" s="167"/>
      <c r="P108" s="167"/>
      <c r="Q108" s="167"/>
      <c r="R108" s="167"/>
      <c r="S108" s="167"/>
      <c r="T108" s="167"/>
      <c r="U108" s="167"/>
      <c r="V108" s="167"/>
      <c r="W108" s="167"/>
      <c r="X108" s="555"/>
      <c r="Y108" s="555"/>
      <c r="Z108" s="167"/>
      <c r="AA108" s="167"/>
      <c r="AB108" s="167"/>
      <c r="AC108" s="167"/>
      <c r="AD108" s="167"/>
      <c r="AE108" s="167"/>
      <c r="AF108" s="167"/>
      <c r="AG108" s="167"/>
      <c r="AH108" s="167"/>
      <c r="AI108" s="167"/>
      <c r="AJ108" s="167"/>
      <c r="AK108" s="167"/>
      <c r="AL108" s="167"/>
      <c r="AM108" s="167"/>
      <c r="AN108" s="167"/>
      <c r="AO108" s="167"/>
      <c r="AP108" s="167"/>
      <c r="AQ108" s="167"/>
      <c r="AR108" s="167"/>
      <c r="AS108" s="167"/>
      <c r="AT108" s="167"/>
      <c r="AU108" s="167"/>
      <c r="AV108" s="167"/>
      <c r="AW108" s="167"/>
      <c r="AX108" s="167"/>
      <c r="AY108" s="167"/>
      <c r="AZ108" s="167"/>
      <c r="BA108" s="167"/>
      <c r="BB108" s="167"/>
      <c r="BC108" s="167"/>
      <c r="BD108" s="167"/>
      <c r="BE108" s="167"/>
      <c r="BF108" s="167"/>
      <c r="BG108" s="167"/>
      <c r="BH108" s="167"/>
      <c r="BI108" s="167"/>
      <c r="BJ108" s="167"/>
      <c r="BK108" s="167"/>
      <c r="BL108" s="167"/>
      <c r="BM108" s="26"/>
      <c r="BN108" s="26"/>
    </row>
    <row r="109" spans="1:66">
      <c r="A109" s="26"/>
      <c r="B109" s="26"/>
      <c r="C109" s="26"/>
      <c r="D109" s="26"/>
      <c r="E109" s="26"/>
      <c r="F109" s="26"/>
      <c r="G109" s="26"/>
      <c r="H109" s="26"/>
      <c r="I109" s="26"/>
      <c r="J109" s="26"/>
      <c r="K109" s="26"/>
      <c r="L109" s="26"/>
      <c r="M109" s="26"/>
      <c r="N109" s="26"/>
      <c r="O109" s="167"/>
      <c r="P109" s="167"/>
      <c r="Q109" s="167"/>
      <c r="R109" s="167"/>
      <c r="S109" s="167"/>
      <c r="T109" s="167"/>
      <c r="U109" s="167"/>
      <c r="V109" s="167"/>
      <c r="W109" s="167"/>
      <c r="X109" s="555"/>
      <c r="Y109" s="555"/>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c r="AV109" s="167"/>
      <c r="AW109" s="167"/>
      <c r="AX109" s="167"/>
      <c r="AY109" s="167"/>
      <c r="AZ109" s="167"/>
      <c r="BA109" s="167"/>
      <c r="BB109" s="167"/>
      <c r="BC109" s="167"/>
      <c r="BD109" s="167"/>
      <c r="BE109" s="167"/>
      <c r="BF109" s="167"/>
      <c r="BG109" s="167"/>
      <c r="BH109" s="167"/>
      <c r="BI109" s="167"/>
      <c r="BJ109" s="167"/>
      <c r="BK109" s="167"/>
      <c r="BL109" s="167"/>
      <c r="BM109" s="26"/>
      <c r="BN109" s="26"/>
    </row>
    <row r="110" spans="1:66">
      <c r="A110" s="26"/>
      <c r="B110" s="26"/>
      <c r="C110" s="26"/>
      <c r="D110" s="26"/>
      <c r="E110" s="26"/>
      <c r="F110" s="26"/>
      <c r="G110" s="26"/>
      <c r="H110" s="26"/>
      <c r="I110" s="26"/>
      <c r="J110" s="26"/>
      <c r="K110" s="26"/>
      <c r="L110" s="26"/>
      <c r="M110" s="26"/>
      <c r="N110" s="26"/>
      <c r="O110" s="167"/>
      <c r="P110" s="167"/>
      <c r="Q110" s="167"/>
      <c r="R110" s="167"/>
      <c r="S110" s="167"/>
      <c r="T110" s="167"/>
      <c r="U110" s="167"/>
      <c r="V110" s="167"/>
      <c r="W110" s="167"/>
      <c r="X110" s="555"/>
      <c r="Y110" s="555"/>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c r="AV110" s="167"/>
      <c r="AW110" s="167"/>
      <c r="AX110" s="167"/>
      <c r="AY110" s="167"/>
      <c r="AZ110" s="167"/>
      <c r="BA110" s="167"/>
      <c r="BB110" s="167"/>
      <c r="BC110" s="167"/>
      <c r="BD110" s="167"/>
      <c r="BE110" s="167"/>
      <c r="BF110" s="167"/>
      <c r="BG110" s="167"/>
      <c r="BH110" s="167"/>
      <c r="BI110" s="167"/>
      <c r="BJ110" s="167"/>
      <c r="BK110" s="167"/>
      <c r="BL110" s="167"/>
      <c r="BM110" s="26"/>
      <c r="BN110" s="26"/>
    </row>
    <row r="111" spans="1:66">
      <c r="A111" s="26"/>
      <c r="B111" s="26"/>
      <c r="C111" s="26"/>
      <c r="D111" s="26"/>
      <c r="E111" s="26"/>
      <c r="F111" s="26"/>
      <c r="G111" s="26"/>
      <c r="H111" s="26"/>
      <c r="I111" s="26"/>
      <c r="J111" s="26"/>
      <c r="K111" s="26"/>
      <c r="L111" s="26"/>
      <c r="M111" s="26"/>
      <c r="N111" s="26"/>
      <c r="O111" s="167"/>
      <c r="P111" s="167"/>
      <c r="Q111" s="167"/>
      <c r="R111" s="167"/>
      <c r="S111" s="167"/>
      <c r="T111" s="167"/>
      <c r="U111" s="167"/>
      <c r="V111" s="167"/>
      <c r="W111" s="167"/>
      <c r="X111" s="555"/>
      <c r="Y111" s="555"/>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c r="AZ111" s="167"/>
      <c r="BA111" s="167"/>
      <c r="BB111" s="167"/>
      <c r="BC111" s="167"/>
      <c r="BD111" s="167"/>
      <c r="BE111" s="167"/>
      <c r="BF111" s="167"/>
      <c r="BG111" s="167"/>
      <c r="BH111" s="167"/>
      <c r="BI111" s="167"/>
      <c r="BJ111" s="167"/>
      <c r="BK111" s="167"/>
      <c r="BL111" s="167"/>
      <c r="BM111" s="26"/>
      <c r="BN111" s="26"/>
    </row>
    <row r="112" spans="1:66">
      <c r="A112" s="26"/>
      <c r="B112" s="26"/>
      <c r="C112" s="26"/>
      <c r="D112" s="26"/>
      <c r="E112" s="26"/>
      <c r="F112" s="26"/>
      <c r="G112" s="26"/>
      <c r="H112" s="26"/>
      <c r="I112" s="26"/>
      <c r="J112" s="26"/>
      <c r="K112" s="26"/>
      <c r="L112" s="26"/>
      <c r="M112" s="26"/>
      <c r="N112" s="26"/>
      <c r="O112" s="167"/>
      <c r="P112" s="167"/>
      <c r="Q112" s="167"/>
      <c r="R112" s="167"/>
      <c r="S112" s="167"/>
      <c r="T112" s="167"/>
      <c r="U112" s="167"/>
      <c r="V112" s="167"/>
      <c r="W112" s="167"/>
      <c r="X112" s="555"/>
      <c r="Y112" s="555"/>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c r="AZ112" s="167"/>
      <c r="BA112" s="167"/>
      <c r="BB112" s="167"/>
      <c r="BC112" s="167"/>
      <c r="BD112" s="167"/>
      <c r="BE112" s="167"/>
      <c r="BF112" s="167"/>
      <c r="BG112" s="167"/>
      <c r="BH112" s="167"/>
      <c r="BI112" s="167"/>
      <c r="BJ112" s="167"/>
      <c r="BK112" s="167"/>
      <c r="BL112" s="167"/>
      <c r="BM112" s="26"/>
      <c r="BN112" s="26"/>
    </row>
    <row r="113" spans="1:66">
      <c r="A113" s="26"/>
      <c r="B113" s="26"/>
      <c r="C113" s="26"/>
      <c r="D113" s="26"/>
      <c r="E113" s="26"/>
      <c r="F113" s="26"/>
      <c r="G113" s="26"/>
      <c r="H113" s="26"/>
      <c r="I113" s="26"/>
      <c r="J113" s="26"/>
      <c r="K113" s="26"/>
      <c r="L113" s="26"/>
      <c r="M113" s="26"/>
      <c r="N113" s="26"/>
      <c r="O113" s="167"/>
      <c r="P113" s="167"/>
      <c r="Q113" s="167"/>
      <c r="R113" s="167"/>
      <c r="S113" s="167"/>
      <c r="T113" s="167"/>
      <c r="U113" s="167"/>
      <c r="V113" s="167"/>
      <c r="W113" s="167"/>
      <c r="X113" s="555"/>
      <c r="Y113" s="555"/>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c r="BB113" s="167"/>
      <c r="BC113" s="167"/>
      <c r="BD113" s="167"/>
      <c r="BE113" s="167"/>
      <c r="BF113" s="167"/>
      <c r="BG113" s="167"/>
      <c r="BH113" s="167"/>
      <c r="BI113" s="167"/>
      <c r="BJ113" s="167"/>
      <c r="BK113" s="167"/>
      <c r="BL113" s="167"/>
      <c r="BM113" s="26"/>
      <c r="BN113" s="26"/>
    </row>
    <row r="114" spans="1:66">
      <c r="A114" s="26"/>
      <c r="B114" s="26"/>
      <c r="C114" s="26"/>
      <c r="D114" s="26"/>
      <c r="E114" s="26"/>
      <c r="F114" s="26"/>
      <c r="G114" s="26"/>
      <c r="H114" s="26"/>
      <c r="I114" s="26"/>
      <c r="J114" s="26"/>
      <c r="K114" s="26"/>
      <c r="L114" s="26"/>
      <c r="M114" s="26"/>
      <c r="N114" s="26"/>
      <c r="O114" s="167"/>
      <c r="P114" s="167"/>
      <c r="Q114" s="167"/>
      <c r="R114" s="167"/>
      <c r="S114" s="167"/>
      <c r="T114" s="167"/>
      <c r="U114" s="167"/>
      <c r="V114" s="167"/>
      <c r="W114" s="167"/>
      <c r="X114" s="555"/>
      <c r="Y114" s="555"/>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c r="AZ114" s="167"/>
      <c r="BA114" s="167"/>
      <c r="BB114" s="167"/>
      <c r="BC114" s="167"/>
      <c r="BD114" s="167"/>
      <c r="BE114" s="167"/>
      <c r="BF114" s="167"/>
      <c r="BG114" s="167"/>
      <c r="BH114" s="167"/>
      <c r="BI114" s="167"/>
      <c r="BJ114" s="167"/>
      <c r="BK114" s="167"/>
      <c r="BL114" s="167"/>
      <c r="BM114" s="26"/>
      <c r="BN114" s="26"/>
    </row>
    <row r="115" spans="1:66">
      <c r="A115" s="26"/>
      <c r="B115" s="26"/>
      <c r="C115" s="26"/>
      <c r="D115" s="26"/>
      <c r="E115" s="26"/>
      <c r="F115" s="26"/>
      <c r="G115" s="26"/>
      <c r="H115" s="26"/>
      <c r="I115" s="26"/>
      <c r="J115" s="26"/>
      <c r="K115" s="26"/>
      <c r="L115" s="26"/>
      <c r="M115" s="26"/>
      <c r="N115" s="26"/>
      <c r="O115" s="167"/>
      <c r="P115" s="167"/>
      <c r="Q115" s="167"/>
      <c r="R115" s="167"/>
      <c r="S115" s="167"/>
      <c r="T115" s="167"/>
      <c r="U115" s="167"/>
      <c r="V115" s="167"/>
      <c r="W115" s="167"/>
      <c r="X115" s="555"/>
      <c r="Y115" s="555"/>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c r="AZ115" s="167"/>
      <c r="BA115" s="167"/>
      <c r="BB115" s="167"/>
      <c r="BC115" s="167"/>
      <c r="BD115" s="167"/>
      <c r="BE115" s="167"/>
      <c r="BF115" s="167"/>
      <c r="BG115" s="167"/>
      <c r="BH115" s="167"/>
      <c r="BI115" s="167"/>
      <c r="BJ115" s="167"/>
      <c r="BK115" s="167"/>
      <c r="BL115" s="167"/>
      <c r="BM115" s="26"/>
      <c r="BN115" s="26"/>
    </row>
    <row r="116" spans="1:66">
      <c r="A116" s="26"/>
      <c r="B116" s="26"/>
      <c r="C116" s="26"/>
      <c r="D116" s="26"/>
      <c r="E116" s="26"/>
      <c r="F116" s="26"/>
      <c r="G116" s="26"/>
      <c r="H116" s="26"/>
      <c r="I116" s="26"/>
      <c r="J116" s="26"/>
      <c r="K116" s="26"/>
      <c r="L116" s="26"/>
      <c r="M116" s="26"/>
      <c r="N116" s="26"/>
      <c r="O116" s="167"/>
      <c r="P116" s="167"/>
      <c r="Q116" s="167"/>
      <c r="R116" s="167"/>
      <c r="S116" s="167"/>
      <c r="T116" s="167"/>
      <c r="U116" s="167"/>
      <c r="V116" s="167"/>
      <c r="W116" s="167"/>
      <c r="X116" s="555"/>
      <c r="Y116" s="555"/>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c r="BC116" s="167"/>
      <c r="BD116" s="167"/>
      <c r="BE116" s="167"/>
      <c r="BF116" s="167"/>
      <c r="BG116" s="167"/>
      <c r="BH116" s="167"/>
      <c r="BI116" s="167"/>
      <c r="BJ116" s="167"/>
      <c r="BK116" s="167"/>
      <c r="BL116" s="167"/>
      <c r="BM116" s="26"/>
      <c r="BN116" s="26"/>
    </row>
    <row r="117" spans="1:66">
      <c r="A117" s="26"/>
      <c r="B117" s="26"/>
      <c r="C117" s="26"/>
      <c r="D117" s="26"/>
      <c r="E117" s="26"/>
      <c r="F117" s="26"/>
      <c r="G117" s="26"/>
      <c r="H117" s="26"/>
      <c r="I117" s="26"/>
      <c r="J117" s="26"/>
      <c r="K117" s="26"/>
      <c r="L117" s="26"/>
      <c r="M117" s="26"/>
      <c r="N117" s="26"/>
      <c r="O117" s="167"/>
      <c r="P117" s="167"/>
      <c r="Q117" s="167"/>
      <c r="R117" s="167"/>
      <c r="S117" s="167"/>
      <c r="T117" s="167"/>
      <c r="U117" s="167"/>
      <c r="V117" s="167"/>
      <c r="W117" s="167"/>
      <c r="X117" s="555"/>
      <c r="Y117" s="555"/>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c r="BC117" s="167"/>
      <c r="BD117" s="167"/>
      <c r="BE117" s="167"/>
      <c r="BF117" s="167"/>
      <c r="BG117" s="167"/>
      <c r="BH117" s="167"/>
      <c r="BI117" s="167"/>
      <c r="BJ117" s="167"/>
      <c r="BK117" s="167"/>
      <c r="BL117" s="167"/>
      <c r="BM117" s="26"/>
      <c r="BN117" s="26"/>
    </row>
    <row r="118" spans="1:66">
      <c r="A118" s="26"/>
      <c r="B118" s="26"/>
      <c r="C118" s="26"/>
      <c r="D118" s="26"/>
      <c r="E118" s="26"/>
      <c r="F118" s="26"/>
      <c r="G118" s="26"/>
      <c r="H118" s="26"/>
      <c r="I118" s="26"/>
      <c r="J118" s="26"/>
      <c r="K118" s="26"/>
      <c r="L118" s="26"/>
      <c r="M118" s="26"/>
      <c r="N118" s="26"/>
      <c r="O118" s="167"/>
      <c r="P118" s="167"/>
      <c r="Q118" s="167"/>
      <c r="R118" s="167"/>
      <c r="S118" s="167"/>
      <c r="T118" s="167"/>
      <c r="U118" s="167"/>
      <c r="V118" s="167"/>
      <c r="W118" s="167"/>
      <c r="X118" s="555"/>
      <c r="Y118" s="555"/>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c r="BB118" s="167"/>
      <c r="BC118" s="167"/>
      <c r="BD118" s="167"/>
      <c r="BE118" s="167"/>
      <c r="BF118" s="167"/>
      <c r="BG118" s="167"/>
      <c r="BH118" s="167"/>
      <c r="BI118" s="167"/>
      <c r="BJ118" s="167"/>
      <c r="BK118" s="167"/>
      <c r="BL118" s="167"/>
      <c r="BM118" s="26"/>
      <c r="BN118" s="26"/>
    </row>
    <row r="119" spans="1:66">
      <c r="A119" s="26"/>
      <c r="B119" s="26"/>
      <c r="C119" s="26"/>
      <c r="D119" s="26"/>
      <c r="E119" s="26"/>
      <c r="F119" s="26"/>
      <c r="G119" s="26"/>
      <c r="H119" s="26"/>
      <c r="I119" s="26"/>
      <c r="J119" s="26"/>
      <c r="K119" s="26"/>
      <c r="L119" s="26"/>
      <c r="M119" s="26"/>
      <c r="N119" s="26"/>
      <c r="O119" s="167"/>
      <c r="P119" s="167"/>
      <c r="Q119" s="167"/>
      <c r="R119" s="167"/>
      <c r="S119" s="167"/>
      <c r="T119" s="167"/>
      <c r="U119" s="167"/>
      <c r="V119" s="167"/>
      <c r="W119" s="167"/>
      <c r="X119" s="555"/>
      <c r="Y119" s="555"/>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c r="AZ119" s="167"/>
      <c r="BA119" s="167"/>
      <c r="BB119" s="167"/>
      <c r="BC119" s="167"/>
      <c r="BD119" s="167"/>
      <c r="BE119" s="167"/>
      <c r="BF119" s="167"/>
      <c r="BG119" s="167"/>
      <c r="BH119" s="167"/>
      <c r="BI119" s="167"/>
      <c r="BJ119" s="167"/>
      <c r="BK119" s="167"/>
      <c r="BL119" s="167"/>
      <c r="BM119" s="26"/>
      <c r="BN119" s="26"/>
    </row>
    <row r="120" spans="1:66">
      <c r="A120" s="26"/>
      <c r="B120" s="26"/>
      <c r="C120" s="26"/>
      <c r="D120" s="26"/>
      <c r="E120" s="26"/>
      <c r="F120" s="26"/>
      <c r="G120" s="26"/>
      <c r="H120" s="26"/>
      <c r="I120" s="26"/>
      <c r="J120" s="26"/>
      <c r="K120" s="26"/>
      <c r="L120" s="26"/>
      <c r="M120" s="26"/>
      <c r="N120" s="26"/>
      <c r="O120" s="167"/>
      <c r="P120" s="167"/>
      <c r="Q120" s="167"/>
      <c r="R120" s="167"/>
      <c r="S120" s="167"/>
      <c r="T120" s="167"/>
      <c r="U120" s="167"/>
      <c r="V120" s="167"/>
      <c r="W120" s="167"/>
      <c r="X120" s="555"/>
      <c r="Y120" s="555"/>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c r="AZ120" s="167"/>
      <c r="BA120" s="167"/>
      <c r="BB120" s="167"/>
      <c r="BC120" s="167"/>
      <c r="BD120" s="167"/>
      <c r="BE120" s="167"/>
      <c r="BF120" s="167"/>
      <c r="BG120" s="167"/>
      <c r="BH120" s="167"/>
      <c r="BI120" s="167"/>
      <c r="BJ120" s="167"/>
      <c r="BK120" s="167"/>
      <c r="BL120" s="167"/>
      <c r="BM120" s="26"/>
      <c r="BN120" s="26"/>
    </row>
    <row r="121" spans="1:66">
      <c r="A121" s="26"/>
      <c r="B121" s="26"/>
      <c r="C121" s="26"/>
      <c r="D121" s="26"/>
      <c r="E121" s="26"/>
      <c r="F121" s="26"/>
      <c r="G121" s="26"/>
      <c r="H121" s="26"/>
      <c r="I121" s="26"/>
      <c r="J121" s="26"/>
      <c r="K121" s="26"/>
      <c r="L121" s="26"/>
      <c r="M121" s="26"/>
      <c r="N121" s="26"/>
      <c r="O121" s="167"/>
      <c r="P121" s="167"/>
      <c r="Q121" s="167"/>
      <c r="R121" s="167"/>
      <c r="S121" s="167"/>
      <c r="T121" s="167"/>
      <c r="U121" s="167"/>
      <c r="V121" s="167"/>
      <c r="W121" s="167"/>
      <c r="X121" s="555"/>
      <c r="Y121" s="555"/>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c r="AZ121" s="167"/>
      <c r="BA121" s="167"/>
      <c r="BB121" s="167"/>
      <c r="BC121" s="167"/>
      <c r="BD121" s="167"/>
      <c r="BE121" s="167"/>
      <c r="BF121" s="167"/>
      <c r="BG121" s="167"/>
      <c r="BH121" s="167"/>
      <c r="BI121" s="167"/>
      <c r="BJ121" s="167"/>
      <c r="BK121" s="167"/>
      <c r="BL121" s="167"/>
      <c r="BM121" s="26"/>
      <c r="BN121" s="26"/>
    </row>
    <row r="122" spans="1:66">
      <c r="A122" s="26"/>
      <c r="B122" s="26"/>
      <c r="C122" s="26"/>
      <c r="D122" s="26"/>
      <c r="E122" s="26"/>
      <c r="F122" s="26"/>
      <c r="G122" s="26"/>
      <c r="H122" s="26"/>
      <c r="I122" s="26"/>
      <c r="J122" s="26"/>
      <c r="K122" s="26"/>
      <c r="L122" s="26"/>
      <c r="M122" s="26"/>
      <c r="N122" s="26"/>
      <c r="O122" s="167"/>
      <c r="P122" s="167"/>
      <c r="Q122" s="167"/>
      <c r="R122" s="167"/>
      <c r="S122" s="167"/>
      <c r="T122" s="167"/>
      <c r="U122" s="167"/>
      <c r="V122" s="167"/>
      <c r="W122" s="167"/>
      <c r="X122" s="555"/>
      <c r="Y122" s="555"/>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c r="AZ122" s="167"/>
      <c r="BA122" s="167"/>
      <c r="BB122" s="167"/>
      <c r="BC122" s="167"/>
      <c r="BD122" s="167"/>
      <c r="BE122" s="167"/>
      <c r="BF122" s="167"/>
      <c r="BG122" s="167"/>
      <c r="BH122" s="167"/>
      <c r="BI122" s="167"/>
      <c r="BJ122" s="167"/>
      <c r="BK122" s="167"/>
      <c r="BL122" s="167"/>
      <c r="BM122" s="26"/>
      <c r="BN122" s="26"/>
    </row>
    <row r="123" spans="1:66">
      <c r="A123" s="26"/>
      <c r="B123" s="26"/>
      <c r="C123" s="26"/>
      <c r="D123" s="26"/>
      <c r="E123" s="26"/>
      <c r="F123" s="26"/>
      <c r="G123" s="26"/>
      <c r="H123" s="26"/>
      <c r="I123" s="26"/>
      <c r="J123" s="26"/>
      <c r="K123" s="26"/>
      <c r="L123" s="26"/>
      <c r="M123" s="26"/>
      <c r="N123" s="26"/>
      <c r="O123" s="167"/>
      <c r="P123" s="167"/>
      <c r="Q123" s="167"/>
      <c r="R123" s="167"/>
      <c r="S123" s="167"/>
      <c r="T123" s="167"/>
      <c r="U123" s="167"/>
      <c r="V123" s="167"/>
      <c r="W123" s="167"/>
      <c r="X123" s="555"/>
      <c r="Y123" s="555"/>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c r="AZ123" s="167"/>
      <c r="BA123" s="167"/>
      <c r="BB123" s="167"/>
      <c r="BC123" s="167"/>
      <c r="BD123" s="167"/>
      <c r="BE123" s="167"/>
      <c r="BF123" s="167"/>
      <c r="BG123" s="167"/>
      <c r="BH123" s="167"/>
      <c r="BI123" s="167"/>
      <c r="BJ123" s="167"/>
      <c r="BK123" s="167"/>
      <c r="BL123" s="167"/>
      <c r="BM123" s="26"/>
      <c r="BN123" s="26"/>
    </row>
    <row r="124" spans="1:66">
      <c r="A124" s="26"/>
      <c r="B124" s="26"/>
      <c r="C124" s="26"/>
      <c r="D124" s="26"/>
      <c r="E124" s="26"/>
      <c r="F124" s="26"/>
      <c r="G124" s="26"/>
      <c r="H124" s="26"/>
      <c r="I124" s="26"/>
      <c r="J124" s="26"/>
      <c r="K124" s="26"/>
      <c r="L124" s="26"/>
      <c r="M124" s="26"/>
      <c r="N124" s="26"/>
      <c r="O124" s="167"/>
      <c r="P124" s="167"/>
      <c r="Q124" s="167"/>
      <c r="R124" s="167"/>
      <c r="S124" s="167"/>
      <c r="T124" s="167"/>
      <c r="U124" s="167"/>
      <c r="V124" s="167"/>
      <c r="W124" s="167"/>
      <c r="X124" s="555"/>
      <c r="Y124" s="555"/>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c r="BC124" s="167"/>
      <c r="BD124" s="167"/>
      <c r="BE124" s="167"/>
      <c r="BF124" s="167"/>
      <c r="BG124" s="167"/>
      <c r="BH124" s="167"/>
      <c r="BI124" s="167"/>
      <c r="BJ124" s="167"/>
      <c r="BK124" s="167"/>
      <c r="BL124" s="167"/>
      <c r="BM124" s="26"/>
      <c r="BN124" s="26"/>
    </row>
    <row r="125" spans="1:66">
      <c r="A125" s="26"/>
      <c r="B125" s="26"/>
      <c r="C125" s="26"/>
      <c r="D125" s="26"/>
      <c r="E125" s="26"/>
      <c r="F125" s="26"/>
      <c r="G125" s="26"/>
      <c r="H125" s="26"/>
      <c r="I125" s="26"/>
      <c r="J125" s="26"/>
      <c r="K125" s="26"/>
      <c r="L125" s="26"/>
      <c r="M125" s="26"/>
      <c r="N125" s="26"/>
      <c r="O125" s="167"/>
      <c r="P125" s="167"/>
      <c r="Q125" s="167"/>
      <c r="R125" s="167"/>
      <c r="S125" s="167"/>
      <c r="T125" s="167"/>
      <c r="U125" s="167"/>
      <c r="V125" s="167"/>
      <c r="W125" s="167"/>
      <c r="X125" s="555"/>
      <c r="Y125" s="555"/>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c r="BC125" s="167"/>
      <c r="BD125" s="167"/>
      <c r="BE125" s="167"/>
      <c r="BF125" s="167"/>
      <c r="BG125" s="167"/>
      <c r="BH125" s="167"/>
      <c r="BI125" s="167"/>
      <c r="BJ125" s="167"/>
      <c r="BK125" s="167"/>
      <c r="BL125" s="167"/>
      <c r="BM125" s="26"/>
      <c r="BN125" s="26"/>
    </row>
    <row r="126" spans="1:66">
      <c r="A126" s="26"/>
      <c r="B126" s="26"/>
      <c r="C126" s="26"/>
      <c r="D126" s="26"/>
      <c r="E126" s="26"/>
      <c r="F126" s="26"/>
      <c r="G126" s="26"/>
      <c r="H126" s="26"/>
      <c r="I126" s="26"/>
      <c r="J126" s="26"/>
      <c r="K126" s="26"/>
      <c r="L126" s="26"/>
      <c r="M126" s="26"/>
      <c r="N126" s="26"/>
      <c r="O126" s="167"/>
      <c r="P126" s="167"/>
      <c r="Q126" s="167"/>
      <c r="R126" s="167"/>
      <c r="S126" s="167"/>
      <c r="T126" s="167"/>
      <c r="U126" s="167"/>
      <c r="V126" s="167"/>
      <c r="W126" s="167"/>
      <c r="X126" s="555"/>
      <c r="Y126" s="555"/>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c r="BC126" s="167"/>
      <c r="BD126" s="167"/>
      <c r="BE126" s="167"/>
      <c r="BF126" s="167"/>
      <c r="BG126" s="167"/>
      <c r="BH126" s="167"/>
      <c r="BI126" s="167"/>
      <c r="BJ126" s="167"/>
      <c r="BK126" s="167"/>
      <c r="BL126" s="167"/>
      <c r="BM126" s="26"/>
      <c r="BN126" s="26"/>
    </row>
    <row r="127" spans="1:66">
      <c r="A127" s="26"/>
      <c r="B127" s="26"/>
      <c r="C127" s="26"/>
      <c r="D127" s="26"/>
      <c r="E127" s="26"/>
      <c r="F127" s="26"/>
      <c r="G127" s="26"/>
      <c r="H127" s="26"/>
      <c r="I127" s="26"/>
      <c r="J127" s="26"/>
      <c r="K127" s="26"/>
      <c r="L127" s="26"/>
      <c r="M127" s="26"/>
      <c r="N127" s="26"/>
      <c r="O127" s="167"/>
      <c r="P127" s="167"/>
      <c r="Q127" s="167"/>
      <c r="R127" s="167"/>
      <c r="S127" s="167"/>
      <c r="T127" s="167"/>
      <c r="U127" s="167"/>
      <c r="V127" s="167"/>
      <c r="W127" s="167"/>
      <c r="X127" s="555"/>
      <c r="Y127" s="555"/>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c r="BC127" s="167"/>
      <c r="BD127" s="167"/>
      <c r="BE127" s="167"/>
      <c r="BF127" s="167"/>
      <c r="BG127" s="167"/>
      <c r="BH127" s="167"/>
      <c r="BI127" s="167"/>
      <c r="BJ127" s="167"/>
      <c r="BK127" s="167"/>
      <c r="BL127" s="167"/>
      <c r="BM127" s="26"/>
      <c r="BN127" s="26"/>
    </row>
    <row r="128" spans="1:66">
      <c r="A128" s="26"/>
      <c r="B128" s="26"/>
      <c r="C128" s="26"/>
      <c r="D128" s="26"/>
      <c r="E128" s="26"/>
      <c r="F128" s="26"/>
      <c r="G128" s="26"/>
      <c r="H128" s="26"/>
      <c r="I128" s="26"/>
      <c r="J128" s="26"/>
      <c r="K128" s="26"/>
      <c r="L128" s="26"/>
      <c r="M128" s="26"/>
      <c r="N128" s="26"/>
      <c r="O128" s="167"/>
      <c r="P128" s="167"/>
      <c r="Q128" s="167"/>
      <c r="R128" s="167"/>
      <c r="S128" s="167"/>
      <c r="T128" s="167"/>
      <c r="U128" s="167"/>
      <c r="V128" s="167"/>
      <c r="W128" s="167"/>
      <c r="X128" s="555"/>
      <c r="Y128" s="555"/>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c r="BC128" s="167"/>
      <c r="BD128" s="167"/>
      <c r="BE128" s="167"/>
      <c r="BF128" s="167"/>
      <c r="BG128" s="167"/>
      <c r="BH128" s="167"/>
      <c r="BI128" s="167"/>
      <c r="BJ128" s="167"/>
      <c r="BK128" s="167"/>
      <c r="BL128" s="167"/>
      <c r="BM128" s="26"/>
      <c r="BN128" s="26"/>
    </row>
    <row r="129" spans="1:66">
      <c r="A129" s="26"/>
      <c r="B129" s="26"/>
      <c r="C129" s="26"/>
      <c r="D129" s="26"/>
      <c r="E129" s="26"/>
      <c r="F129" s="26"/>
      <c r="G129" s="26"/>
      <c r="H129" s="26"/>
      <c r="I129" s="26"/>
      <c r="J129" s="26"/>
      <c r="K129" s="26"/>
      <c r="L129" s="26"/>
      <c r="M129" s="26"/>
      <c r="N129" s="26"/>
      <c r="O129" s="167"/>
      <c r="P129" s="167"/>
      <c r="Q129" s="167"/>
      <c r="R129" s="167"/>
      <c r="S129" s="167"/>
      <c r="T129" s="167"/>
      <c r="U129" s="167"/>
      <c r="V129" s="167"/>
      <c r="W129" s="167"/>
      <c r="X129" s="555"/>
      <c r="Y129" s="555"/>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c r="BB129" s="167"/>
      <c r="BC129" s="167"/>
      <c r="BD129" s="167"/>
      <c r="BE129" s="167"/>
      <c r="BF129" s="167"/>
      <c r="BG129" s="167"/>
      <c r="BH129" s="167"/>
      <c r="BI129" s="167"/>
      <c r="BJ129" s="167"/>
      <c r="BK129" s="167"/>
      <c r="BL129" s="167"/>
      <c r="BM129" s="26"/>
      <c r="BN129" s="26"/>
    </row>
    <row r="130" spans="1:66">
      <c r="A130" s="26"/>
      <c r="B130" s="26"/>
      <c r="C130" s="26"/>
      <c r="D130" s="26"/>
      <c r="E130" s="26"/>
      <c r="F130" s="26"/>
      <c r="G130" s="26"/>
      <c r="H130" s="26"/>
      <c r="I130" s="26"/>
      <c r="J130" s="26"/>
      <c r="K130" s="26"/>
      <c r="L130" s="26"/>
      <c r="M130" s="26"/>
      <c r="N130" s="26"/>
      <c r="O130" s="167"/>
      <c r="P130" s="167"/>
      <c r="Q130" s="167"/>
      <c r="R130" s="167"/>
      <c r="S130" s="167"/>
      <c r="T130" s="167"/>
      <c r="U130" s="167"/>
      <c r="V130" s="167"/>
      <c r="W130" s="167"/>
      <c r="X130" s="555"/>
      <c r="Y130" s="555"/>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c r="BC130" s="167"/>
      <c r="BD130" s="167"/>
      <c r="BE130" s="167"/>
      <c r="BF130" s="167"/>
      <c r="BG130" s="167"/>
      <c r="BH130" s="167"/>
      <c r="BI130" s="167"/>
      <c r="BJ130" s="167"/>
      <c r="BK130" s="167"/>
      <c r="BL130" s="167"/>
      <c r="BM130" s="26"/>
      <c r="BN130" s="26"/>
    </row>
    <row r="131" spans="1:66">
      <c r="A131" s="26"/>
      <c r="B131" s="26"/>
      <c r="C131" s="26"/>
      <c r="D131" s="26"/>
      <c r="E131" s="26"/>
      <c r="F131" s="26"/>
      <c r="G131" s="26"/>
      <c r="H131" s="26"/>
      <c r="I131" s="26"/>
      <c r="J131" s="26"/>
      <c r="K131" s="26"/>
      <c r="L131" s="26"/>
      <c r="M131" s="26"/>
      <c r="N131" s="26"/>
      <c r="O131" s="167"/>
      <c r="P131" s="167"/>
      <c r="Q131" s="167"/>
      <c r="R131" s="167"/>
      <c r="S131" s="167"/>
      <c r="T131" s="167"/>
      <c r="U131" s="167"/>
      <c r="V131" s="167"/>
      <c r="W131" s="167"/>
      <c r="X131" s="167"/>
      <c r="Y131" s="555"/>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c r="BC131" s="167"/>
      <c r="BD131" s="167"/>
      <c r="BE131" s="167"/>
      <c r="BF131" s="167"/>
      <c r="BG131" s="167"/>
      <c r="BH131" s="167"/>
      <c r="BI131" s="167"/>
      <c r="BJ131" s="167"/>
      <c r="BK131" s="167"/>
      <c r="BL131" s="167"/>
      <c r="BM131" s="26"/>
      <c r="BN131" s="26"/>
    </row>
    <row r="132" spans="1:66">
      <c r="A132" s="26"/>
      <c r="B132" s="26"/>
      <c r="C132" s="26"/>
      <c r="D132" s="26"/>
      <c r="E132" s="26"/>
      <c r="F132" s="26"/>
      <c r="G132" s="26"/>
      <c r="H132" s="26"/>
      <c r="I132" s="26"/>
      <c r="J132" s="26"/>
      <c r="K132" s="26"/>
      <c r="L132" s="26"/>
      <c r="M132" s="26"/>
      <c r="N132" s="26"/>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c r="BC132" s="167"/>
      <c r="BD132" s="167"/>
      <c r="BE132" s="167"/>
      <c r="BF132" s="167"/>
      <c r="BG132" s="167"/>
      <c r="BH132" s="167"/>
      <c r="BI132" s="167"/>
      <c r="BJ132" s="167"/>
      <c r="BK132" s="167"/>
      <c r="BL132" s="167"/>
      <c r="BM132" s="26"/>
      <c r="BN132" s="26"/>
    </row>
    <row r="133" spans="1:66">
      <c r="A133" s="26"/>
      <c r="B133" s="26"/>
      <c r="C133" s="26"/>
      <c r="D133" s="26"/>
      <c r="E133" s="26"/>
      <c r="F133" s="26"/>
      <c r="G133" s="26"/>
      <c r="H133" s="26"/>
      <c r="I133" s="26"/>
      <c r="J133" s="26"/>
      <c r="K133" s="26"/>
      <c r="L133" s="26"/>
      <c r="M133" s="26"/>
      <c r="N133" s="26"/>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c r="BC133" s="167"/>
      <c r="BD133" s="167"/>
      <c r="BE133" s="167"/>
      <c r="BF133" s="167"/>
      <c r="BG133" s="167"/>
      <c r="BH133" s="167"/>
      <c r="BI133" s="167"/>
      <c r="BJ133" s="167"/>
      <c r="BK133" s="167"/>
      <c r="BL133" s="167"/>
      <c r="BM133" s="26"/>
      <c r="BN133" s="26"/>
    </row>
    <row r="134" spans="1:66">
      <c r="A134" s="26"/>
      <c r="B134" s="26"/>
      <c r="C134" s="26"/>
      <c r="D134" s="26"/>
      <c r="E134" s="26"/>
      <c r="F134" s="26"/>
      <c r="G134" s="26"/>
      <c r="H134" s="26"/>
      <c r="I134" s="26"/>
      <c r="J134" s="26"/>
      <c r="K134" s="26"/>
      <c r="L134" s="26"/>
      <c r="M134" s="26"/>
      <c r="N134" s="26"/>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c r="BB134" s="167"/>
      <c r="BC134" s="167"/>
      <c r="BD134" s="167"/>
      <c r="BE134" s="167"/>
      <c r="BF134" s="167"/>
      <c r="BG134" s="167"/>
      <c r="BH134" s="167"/>
      <c r="BI134" s="167"/>
      <c r="BJ134" s="167"/>
      <c r="BK134" s="167"/>
      <c r="BL134" s="167"/>
      <c r="BM134" s="26"/>
      <c r="BN134" s="26"/>
    </row>
    <row r="135" spans="1:66">
      <c r="A135" s="26"/>
      <c r="B135" s="26"/>
      <c r="C135" s="26"/>
      <c r="D135" s="26"/>
      <c r="E135" s="26"/>
      <c r="F135" s="26"/>
      <c r="G135" s="26"/>
      <c r="H135" s="26"/>
      <c r="I135" s="26"/>
      <c r="J135" s="26"/>
      <c r="K135" s="26"/>
      <c r="L135" s="26"/>
      <c r="M135" s="26"/>
      <c r="N135" s="26"/>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c r="BB135" s="167"/>
      <c r="BC135" s="167"/>
      <c r="BD135" s="167"/>
      <c r="BE135" s="167"/>
      <c r="BF135" s="167"/>
      <c r="BG135" s="167"/>
      <c r="BH135" s="167"/>
      <c r="BI135" s="167"/>
      <c r="BJ135" s="167"/>
      <c r="BK135" s="167"/>
      <c r="BL135" s="167"/>
      <c r="BM135" s="26"/>
      <c r="BN135" s="26"/>
    </row>
    <row r="136" spans="1:66">
      <c r="A136" s="26"/>
      <c r="B136" s="26"/>
      <c r="C136" s="26"/>
      <c r="D136" s="26"/>
      <c r="E136" s="26"/>
      <c r="F136" s="26"/>
      <c r="G136" s="26"/>
      <c r="H136" s="26"/>
      <c r="I136" s="26"/>
      <c r="J136" s="26"/>
      <c r="K136" s="26"/>
      <c r="L136" s="26"/>
      <c r="M136" s="26"/>
      <c r="N136" s="26"/>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c r="BB136" s="167"/>
      <c r="BC136" s="167"/>
      <c r="BD136" s="167"/>
      <c r="BE136" s="167"/>
      <c r="BF136" s="167"/>
      <c r="BG136" s="167"/>
      <c r="BH136" s="167"/>
      <c r="BI136" s="167"/>
      <c r="BJ136" s="167"/>
      <c r="BK136" s="167"/>
      <c r="BL136" s="167"/>
      <c r="BM136" s="26"/>
      <c r="BN136" s="26"/>
    </row>
    <row r="137" spans="1:66">
      <c r="A137" s="26"/>
      <c r="B137" s="26"/>
      <c r="C137" s="26"/>
      <c r="D137" s="26"/>
      <c r="E137" s="26"/>
      <c r="F137" s="26"/>
      <c r="G137" s="26"/>
      <c r="H137" s="26"/>
      <c r="I137" s="26"/>
      <c r="J137" s="26"/>
      <c r="K137" s="26"/>
      <c r="L137" s="26"/>
      <c r="M137" s="26"/>
      <c r="N137" s="26"/>
      <c r="O137" s="167"/>
      <c r="P137" s="167"/>
      <c r="Q137" s="167"/>
      <c r="R137" s="167"/>
      <c r="S137" s="167"/>
      <c r="T137" s="167"/>
      <c r="U137" s="167"/>
      <c r="V137" s="167"/>
      <c r="W137" s="167"/>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c r="AZ137" s="167"/>
      <c r="BA137" s="167"/>
      <c r="BB137" s="167"/>
      <c r="BC137" s="167"/>
      <c r="BD137" s="167"/>
      <c r="BE137" s="167"/>
      <c r="BF137" s="167"/>
      <c r="BG137" s="167"/>
      <c r="BH137" s="167"/>
      <c r="BI137" s="167"/>
      <c r="BJ137" s="167"/>
      <c r="BK137" s="167"/>
      <c r="BL137" s="167"/>
      <c r="BM137" s="26"/>
      <c r="BN137" s="26"/>
    </row>
    <row r="138" spans="1:66">
      <c r="A138" s="26"/>
      <c r="B138" s="26"/>
      <c r="C138" s="26"/>
      <c r="D138" s="26"/>
      <c r="E138" s="26"/>
      <c r="F138" s="26"/>
      <c r="G138" s="26"/>
      <c r="H138" s="26"/>
      <c r="I138" s="26"/>
      <c r="J138" s="26"/>
      <c r="K138" s="26"/>
      <c r="L138" s="26"/>
      <c r="M138" s="26"/>
      <c r="N138" s="26"/>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c r="BB138" s="167"/>
      <c r="BC138" s="167"/>
      <c r="BD138" s="167"/>
      <c r="BE138" s="167"/>
      <c r="BF138" s="167"/>
      <c r="BG138" s="167"/>
      <c r="BH138" s="167"/>
      <c r="BI138" s="167"/>
      <c r="BJ138" s="167"/>
      <c r="BK138" s="167"/>
      <c r="BL138" s="167"/>
      <c r="BM138" s="26"/>
      <c r="BN138" s="26"/>
    </row>
    <row r="139" spans="1:66">
      <c r="A139" s="26"/>
      <c r="B139" s="26"/>
      <c r="C139" s="26"/>
      <c r="D139" s="26"/>
      <c r="E139" s="26"/>
      <c r="F139" s="26"/>
      <c r="G139" s="26"/>
      <c r="H139" s="26"/>
      <c r="I139" s="26"/>
      <c r="J139" s="26"/>
      <c r="K139" s="26"/>
      <c r="L139" s="26"/>
      <c r="M139" s="26"/>
      <c r="N139" s="26"/>
      <c r="O139" s="167"/>
      <c r="P139" s="167"/>
      <c r="Q139" s="167"/>
      <c r="R139" s="167"/>
      <c r="S139" s="167"/>
      <c r="T139" s="167"/>
      <c r="U139" s="167"/>
      <c r="V139" s="167"/>
      <c r="W139" s="167"/>
      <c r="X139" s="167"/>
      <c r="Y139" s="167"/>
      <c r="Z139" s="167"/>
      <c r="AA139" s="167"/>
      <c r="AB139" s="167"/>
      <c r="AC139" s="167"/>
      <c r="AD139" s="167"/>
      <c r="AE139" s="167"/>
      <c r="AF139" s="167"/>
      <c r="AG139" s="167"/>
      <c r="AH139" s="167"/>
      <c r="AI139" s="167"/>
      <c r="AJ139" s="167"/>
      <c r="AK139" s="167"/>
      <c r="AL139" s="167"/>
      <c r="AM139" s="167"/>
      <c r="AN139" s="167"/>
      <c r="AO139" s="167"/>
      <c r="AP139" s="167"/>
      <c r="AQ139" s="167"/>
      <c r="AR139" s="167"/>
      <c r="AS139" s="167"/>
      <c r="AT139" s="167"/>
      <c r="AU139" s="167"/>
      <c r="AV139" s="167"/>
      <c r="AW139" s="167"/>
      <c r="AX139" s="167"/>
      <c r="AY139" s="167"/>
      <c r="AZ139" s="167"/>
      <c r="BA139" s="167"/>
      <c r="BB139" s="167"/>
      <c r="BC139" s="167"/>
      <c r="BD139" s="167"/>
      <c r="BE139" s="167"/>
      <c r="BF139" s="167"/>
      <c r="BG139" s="167"/>
      <c r="BH139" s="167"/>
      <c r="BI139" s="167"/>
      <c r="BJ139" s="167"/>
      <c r="BK139" s="167"/>
      <c r="BL139" s="167"/>
      <c r="BM139" s="26"/>
      <c r="BN139" s="26"/>
    </row>
    <row r="140" spans="1:66">
      <c r="A140" s="26"/>
      <c r="B140" s="26"/>
      <c r="C140" s="26"/>
      <c r="D140" s="26"/>
      <c r="E140" s="26"/>
      <c r="F140" s="26"/>
      <c r="G140" s="26"/>
      <c r="H140" s="26"/>
      <c r="I140" s="26"/>
      <c r="J140" s="26"/>
      <c r="K140" s="26"/>
      <c r="L140" s="26"/>
      <c r="M140" s="26"/>
      <c r="N140" s="26"/>
      <c r="O140" s="167"/>
      <c r="P140" s="167"/>
      <c r="Q140" s="167"/>
      <c r="R140" s="167"/>
      <c r="S140" s="167"/>
      <c r="T140" s="167"/>
      <c r="U140" s="167"/>
      <c r="V140" s="167"/>
      <c r="W140" s="167"/>
      <c r="X140" s="167"/>
      <c r="Y140" s="167"/>
      <c r="Z140" s="167"/>
      <c r="AA140" s="167"/>
      <c r="AB140" s="167"/>
      <c r="AC140" s="167"/>
      <c r="AD140" s="167"/>
      <c r="AE140" s="167"/>
      <c r="AF140" s="167"/>
      <c r="AG140" s="167"/>
      <c r="AH140" s="167"/>
      <c r="AI140" s="167"/>
      <c r="AJ140" s="167"/>
      <c r="AK140" s="167"/>
      <c r="AL140" s="167"/>
      <c r="AM140" s="167"/>
      <c r="AN140" s="167"/>
      <c r="AO140" s="167"/>
      <c r="AP140" s="167"/>
      <c r="AQ140" s="167"/>
      <c r="AR140" s="167"/>
      <c r="AS140" s="167"/>
      <c r="AT140" s="167"/>
      <c r="AU140" s="167"/>
      <c r="AV140" s="167"/>
      <c r="AW140" s="167"/>
      <c r="AX140" s="167"/>
      <c r="AY140" s="167"/>
      <c r="AZ140" s="167"/>
      <c r="BA140" s="167"/>
      <c r="BB140" s="167"/>
      <c r="BC140" s="167"/>
      <c r="BD140" s="167"/>
      <c r="BE140" s="167"/>
      <c r="BF140" s="167"/>
      <c r="BG140" s="167"/>
      <c r="BH140" s="167"/>
      <c r="BI140" s="167"/>
      <c r="BJ140" s="167"/>
      <c r="BK140" s="167"/>
      <c r="BL140" s="167"/>
      <c r="BM140" s="26"/>
      <c r="BN140" s="26"/>
    </row>
    <row r="141" spans="1:66">
      <c r="A141" s="26"/>
      <c r="B141" s="26"/>
      <c r="C141" s="26"/>
      <c r="D141" s="26"/>
      <c r="E141" s="26"/>
      <c r="F141" s="26"/>
      <c r="G141" s="26"/>
      <c r="H141" s="26"/>
      <c r="I141" s="26"/>
      <c r="J141" s="26"/>
      <c r="K141" s="26"/>
      <c r="L141" s="26"/>
      <c r="M141" s="26"/>
      <c r="N141" s="26"/>
      <c r="O141" s="167"/>
      <c r="P141" s="167"/>
      <c r="Q141" s="167"/>
      <c r="R141" s="167"/>
      <c r="S141" s="167"/>
      <c r="T141" s="167"/>
      <c r="U141" s="167"/>
      <c r="V141" s="167"/>
      <c r="W141" s="167"/>
      <c r="X141" s="167"/>
      <c r="Y141" s="167"/>
      <c r="Z141" s="167"/>
      <c r="AA141" s="167"/>
      <c r="AB141" s="167"/>
      <c r="AC141" s="167"/>
      <c r="AD141" s="167"/>
      <c r="AE141" s="167"/>
      <c r="AF141" s="167"/>
      <c r="AG141" s="167"/>
      <c r="AH141" s="167"/>
      <c r="AI141" s="167"/>
      <c r="AJ141" s="167"/>
      <c r="AK141" s="167"/>
      <c r="AL141" s="167"/>
      <c r="AM141" s="167"/>
      <c r="AN141" s="167"/>
      <c r="AO141" s="167"/>
      <c r="AP141" s="167"/>
      <c r="AQ141" s="167"/>
      <c r="AR141" s="167"/>
      <c r="AS141" s="167"/>
      <c r="AT141" s="167"/>
      <c r="AU141" s="167"/>
      <c r="AV141" s="167"/>
      <c r="AW141" s="167"/>
      <c r="AX141" s="167"/>
      <c r="AY141" s="167"/>
      <c r="AZ141" s="167"/>
      <c r="BA141" s="167"/>
      <c r="BB141" s="167"/>
      <c r="BC141" s="167"/>
      <c r="BD141" s="167"/>
      <c r="BE141" s="167"/>
      <c r="BF141" s="167"/>
      <c r="BG141" s="167"/>
      <c r="BH141" s="167"/>
      <c r="BI141" s="167"/>
      <c r="BJ141" s="167"/>
      <c r="BK141" s="167"/>
      <c r="BL141" s="167"/>
      <c r="BM141" s="26"/>
      <c r="BN141" s="26"/>
    </row>
    <row r="142" spans="1:66">
      <c r="A142" s="26"/>
      <c r="B142" s="26"/>
      <c r="C142" s="26"/>
      <c r="D142" s="26"/>
      <c r="E142" s="26"/>
      <c r="F142" s="26"/>
      <c r="G142" s="26"/>
      <c r="H142" s="26"/>
      <c r="I142" s="26"/>
      <c r="J142" s="26"/>
      <c r="K142" s="26"/>
      <c r="L142" s="26"/>
      <c r="M142" s="26"/>
      <c r="N142" s="26"/>
      <c r="O142" s="167"/>
      <c r="P142" s="167"/>
      <c r="Q142" s="167"/>
      <c r="R142" s="167"/>
      <c r="S142" s="167"/>
      <c r="T142" s="167"/>
      <c r="U142" s="167"/>
      <c r="V142" s="167"/>
      <c r="W142" s="167"/>
      <c r="X142" s="167"/>
      <c r="Y142" s="167"/>
      <c r="Z142" s="167"/>
      <c r="AA142" s="167"/>
      <c r="AB142" s="167"/>
      <c r="AC142" s="167"/>
      <c r="AD142" s="167"/>
      <c r="AE142" s="167"/>
      <c r="AF142" s="167"/>
      <c r="AG142" s="167"/>
      <c r="AH142" s="167"/>
      <c r="AI142" s="167"/>
      <c r="AJ142" s="167"/>
      <c r="AK142" s="167"/>
      <c r="AL142" s="167"/>
      <c r="AM142" s="167"/>
      <c r="AN142" s="167"/>
      <c r="AO142" s="167"/>
      <c r="AP142" s="167"/>
      <c r="AQ142" s="167"/>
      <c r="AR142" s="167"/>
      <c r="AS142" s="167"/>
      <c r="AT142" s="167"/>
      <c r="AU142" s="167"/>
      <c r="AV142" s="167"/>
      <c r="AW142" s="167"/>
      <c r="AX142" s="167"/>
      <c r="AY142" s="167"/>
      <c r="AZ142" s="167"/>
      <c r="BA142" s="167"/>
      <c r="BB142" s="167"/>
      <c r="BC142" s="167"/>
      <c r="BD142" s="167"/>
      <c r="BE142" s="167"/>
      <c r="BF142" s="167"/>
      <c r="BG142" s="167"/>
      <c r="BH142" s="167"/>
      <c r="BI142" s="167"/>
      <c r="BJ142" s="167"/>
      <c r="BK142" s="167"/>
      <c r="BL142" s="167"/>
      <c r="BM142" s="26"/>
      <c r="BN142" s="26"/>
    </row>
    <row r="143" spans="1:66">
      <c r="A143" s="26"/>
      <c r="B143" s="26"/>
      <c r="C143" s="26"/>
      <c r="D143" s="26"/>
      <c r="E143" s="26"/>
      <c r="F143" s="26"/>
      <c r="G143" s="26"/>
      <c r="H143" s="26"/>
      <c r="I143" s="26"/>
      <c r="J143" s="26"/>
      <c r="K143" s="26"/>
      <c r="L143" s="26"/>
      <c r="M143" s="26"/>
      <c r="N143" s="26"/>
      <c r="O143" s="167"/>
      <c r="P143" s="167"/>
      <c r="Q143" s="167"/>
      <c r="R143" s="167"/>
      <c r="S143" s="167"/>
      <c r="T143" s="167"/>
      <c r="U143" s="167"/>
      <c r="V143" s="167"/>
      <c r="W143" s="167"/>
      <c r="X143" s="167"/>
      <c r="Y143" s="167"/>
      <c r="Z143" s="167"/>
      <c r="AA143" s="167"/>
      <c r="AB143" s="167"/>
      <c r="AC143" s="167"/>
      <c r="AD143" s="167"/>
      <c r="AE143" s="167"/>
      <c r="AF143" s="167"/>
      <c r="AG143" s="167"/>
      <c r="AH143" s="167"/>
      <c r="AI143" s="167"/>
      <c r="AJ143" s="167"/>
      <c r="AK143" s="167"/>
      <c r="AL143" s="167"/>
      <c r="AM143" s="167"/>
      <c r="AN143" s="167"/>
      <c r="AO143" s="167"/>
      <c r="AP143" s="167"/>
      <c r="AQ143" s="167"/>
      <c r="AR143" s="167"/>
      <c r="AS143" s="167"/>
      <c r="AT143" s="167"/>
      <c r="AU143" s="167"/>
      <c r="AV143" s="167"/>
      <c r="AW143" s="167"/>
      <c r="AX143" s="167"/>
      <c r="AY143" s="167"/>
      <c r="AZ143" s="167"/>
      <c r="BA143" s="167"/>
      <c r="BB143" s="167"/>
      <c r="BC143" s="167"/>
      <c r="BD143" s="167"/>
      <c r="BE143" s="167"/>
      <c r="BF143" s="167"/>
      <c r="BG143" s="167"/>
      <c r="BH143" s="167"/>
      <c r="BI143" s="167"/>
      <c r="BJ143" s="167"/>
      <c r="BK143" s="167"/>
      <c r="BL143" s="167"/>
      <c r="BM143" s="26"/>
      <c r="BN143" s="26"/>
    </row>
    <row r="144" spans="1:66">
      <c r="A144" s="26"/>
      <c r="B144" s="26"/>
      <c r="C144" s="26"/>
      <c r="D144" s="26"/>
      <c r="E144" s="26"/>
      <c r="F144" s="26"/>
      <c r="G144" s="26"/>
      <c r="H144" s="26"/>
      <c r="I144" s="26"/>
      <c r="J144" s="26"/>
      <c r="K144" s="26"/>
      <c r="L144" s="26"/>
      <c r="M144" s="26"/>
      <c r="N144" s="26"/>
      <c r="O144" s="167"/>
      <c r="P144" s="167"/>
      <c r="Q144" s="167"/>
      <c r="R144" s="167"/>
      <c r="S144" s="167"/>
      <c r="T144" s="167"/>
      <c r="U144" s="167"/>
      <c r="V144" s="167"/>
      <c r="W144" s="167"/>
      <c r="X144" s="167"/>
      <c r="Y144" s="167"/>
      <c r="Z144" s="167"/>
      <c r="AA144" s="167"/>
      <c r="AB144" s="167"/>
      <c r="AC144" s="167"/>
      <c r="AD144" s="167"/>
      <c r="AE144" s="167"/>
      <c r="AF144" s="167"/>
      <c r="AG144" s="167"/>
      <c r="AH144" s="167"/>
      <c r="AI144" s="167"/>
      <c r="AJ144" s="167"/>
      <c r="AK144" s="167"/>
      <c r="AL144" s="167"/>
      <c r="AM144" s="167"/>
      <c r="AN144" s="167"/>
      <c r="AO144" s="167"/>
      <c r="AP144" s="167"/>
      <c r="AQ144" s="167"/>
      <c r="AR144" s="167"/>
      <c r="AS144" s="167"/>
      <c r="AT144" s="167"/>
      <c r="AU144" s="167"/>
      <c r="AV144" s="167"/>
      <c r="AW144" s="167"/>
      <c r="AX144" s="167"/>
      <c r="AY144" s="167"/>
      <c r="AZ144" s="167"/>
      <c r="BA144" s="167"/>
      <c r="BB144" s="167"/>
      <c r="BC144" s="167"/>
      <c r="BD144" s="167"/>
      <c r="BE144" s="167"/>
      <c r="BF144" s="167"/>
      <c r="BG144" s="167"/>
      <c r="BH144" s="167"/>
      <c r="BI144" s="167"/>
      <c r="BJ144" s="167"/>
      <c r="BK144" s="167"/>
      <c r="BL144" s="167"/>
      <c r="BM144" s="26"/>
      <c r="BN144" s="26"/>
    </row>
    <row r="145" spans="1:66">
      <c r="A145" s="26"/>
      <c r="B145" s="26"/>
      <c r="C145" s="26"/>
      <c r="D145" s="26"/>
      <c r="E145" s="26"/>
      <c r="F145" s="26"/>
      <c r="G145" s="26"/>
      <c r="H145" s="26"/>
      <c r="I145" s="26"/>
      <c r="J145" s="26"/>
      <c r="K145" s="26"/>
      <c r="L145" s="26"/>
      <c r="M145" s="26"/>
      <c r="N145" s="26"/>
      <c r="O145" s="167"/>
      <c r="P145" s="167"/>
      <c r="Q145" s="167"/>
      <c r="R145" s="167"/>
      <c r="S145" s="167"/>
      <c r="T145" s="167"/>
      <c r="U145" s="167"/>
      <c r="V145" s="167"/>
      <c r="W145" s="167"/>
      <c r="X145" s="167"/>
      <c r="Y145" s="167"/>
      <c r="Z145" s="167"/>
      <c r="AA145" s="167"/>
      <c r="AB145" s="167"/>
      <c r="AC145" s="167"/>
      <c r="AD145" s="167"/>
      <c r="AE145" s="167"/>
      <c r="AF145" s="167"/>
      <c r="AG145" s="167"/>
      <c r="AH145" s="167"/>
      <c r="AI145" s="167"/>
      <c r="AJ145" s="167"/>
      <c r="AK145" s="167"/>
      <c r="AL145" s="167"/>
      <c r="AM145" s="167"/>
      <c r="AN145" s="167"/>
      <c r="AO145" s="167"/>
      <c r="AP145" s="167"/>
      <c r="AQ145" s="167"/>
      <c r="AR145" s="167"/>
      <c r="AS145" s="167"/>
      <c r="AT145" s="167"/>
      <c r="AU145" s="167"/>
      <c r="AV145" s="167"/>
      <c r="AW145" s="167"/>
      <c r="AX145" s="167"/>
      <c r="AY145" s="167"/>
      <c r="AZ145" s="167"/>
      <c r="BA145" s="167"/>
      <c r="BB145" s="167"/>
      <c r="BC145" s="167"/>
      <c r="BD145" s="167"/>
      <c r="BE145" s="167"/>
      <c r="BF145" s="167"/>
      <c r="BG145" s="167"/>
      <c r="BH145" s="167"/>
      <c r="BI145" s="167"/>
      <c r="BJ145" s="167"/>
      <c r="BK145" s="167"/>
      <c r="BL145" s="167"/>
      <c r="BM145" s="26"/>
      <c r="BN145" s="26"/>
    </row>
    <row r="146" spans="1:66">
      <c r="A146" s="26"/>
      <c r="B146" s="26"/>
      <c r="C146" s="26"/>
      <c r="D146" s="26"/>
      <c r="E146" s="26"/>
      <c r="F146" s="26"/>
      <c r="G146" s="26"/>
      <c r="H146" s="26"/>
      <c r="I146" s="26"/>
      <c r="J146" s="26"/>
      <c r="K146" s="26"/>
      <c r="L146" s="26"/>
      <c r="M146" s="26"/>
      <c r="N146" s="26"/>
      <c r="O146" s="167"/>
      <c r="P146" s="167"/>
      <c r="Q146" s="167"/>
      <c r="R146" s="167"/>
      <c r="S146" s="167"/>
      <c r="T146" s="167"/>
      <c r="U146" s="167"/>
      <c r="V146" s="167"/>
      <c r="W146" s="167"/>
      <c r="X146" s="167"/>
      <c r="Y146" s="167"/>
      <c r="Z146" s="167"/>
      <c r="AA146" s="167"/>
      <c r="AB146" s="167"/>
      <c r="AC146" s="167"/>
      <c r="AD146" s="167"/>
      <c r="AE146" s="167"/>
      <c r="AF146" s="167"/>
      <c r="AG146" s="167"/>
      <c r="AH146" s="167"/>
      <c r="AI146" s="167"/>
      <c r="AJ146" s="167"/>
      <c r="AK146" s="167"/>
      <c r="AL146" s="167"/>
      <c r="AM146" s="167"/>
      <c r="AN146" s="167"/>
      <c r="AO146" s="167"/>
      <c r="AP146" s="167"/>
      <c r="AQ146" s="167"/>
      <c r="AR146" s="167"/>
      <c r="AS146" s="167"/>
      <c r="AT146" s="167"/>
      <c r="AU146" s="167"/>
      <c r="AV146" s="167"/>
      <c r="AW146" s="167"/>
      <c r="AX146" s="167"/>
      <c r="AY146" s="167"/>
      <c r="AZ146" s="167"/>
      <c r="BA146" s="167"/>
      <c r="BB146" s="167"/>
      <c r="BC146" s="167"/>
      <c r="BD146" s="167"/>
      <c r="BE146" s="167"/>
      <c r="BF146" s="167"/>
      <c r="BG146" s="167"/>
      <c r="BH146" s="167"/>
      <c r="BI146" s="167"/>
      <c r="BJ146" s="167"/>
      <c r="BK146" s="167"/>
      <c r="BL146" s="167"/>
      <c r="BM146" s="26"/>
      <c r="BN146" s="26"/>
    </row>
    <row r="147" spans="1:66">
      <c r="A147" s="26"/>
      <c r="B147" s="26"/>
      <c r="C147" s="26"/>
      <c r="D147" s="26"/>
      <c r="E147" s="26"/>
      <c r="F147" s="26"/>
      <c r="G147" s="26"/>
      <c r="H147" s="26"/>
      <c r="I147" s="26"/>
      <c r="J147" s="26"/>
      <c r="K147" s="26"/>
      <c r="L147" s="26"/>
      <c r="M147" s="26"/>
      <c r="N147" s="26"/>
      <c r="O147" s="167"/>
      <c r="P147" s="167"/>
      <c r="Q147" s="167"/>
      <c r="R147" s="167"/>
      <c r="S147" s="167"/>
      <c r="T147" s="167"/>
      <c r="U147" s="167"/>
      <c r="V147" s="167"/>
      <c r="W147" s="167"/>
      <c r="X147" s="167"/>
      <c r="Y147" s="167"/>
      <c r="Z147" s="167"/>
      <c r="AA147" s="167"/>
      <c r="AB147" s="167"/>
      <c r="AC147" s="167"/>
      <c r="AD147" s="167"/>
      <c r="AE147" s="167"/>
      <c r="AF147" s="167"/>
      <c r="AG147" s="167"/>
      <c r="AH147" s="167"/>
      <c r="AI147" s="167"/>
      <c r="AJ147" s="167"/>
      <c r="AK147" s="167"/>
      <c r="AL147" s="167"/>
      <c r="AM147" s="167"/>
      <c r="AN147" s="167"/>
      <c r="AO147" s="167"/>
      <c r="AP147" s="167"/>
      <c r="AQ147" s="167"/>
      <c r="AR147" s="167"/>
      <c r="AS147" s="167"/>
      <c r="AT147" s="167"/>
      <c r="AU147" s="167"/>
      <c r="AV147" s="167"/>
      <c r="AW147" s="167"/>
      <c r="AX147" s="167"/>
      <c r="AY147" s="167"/>
      <c r="AZ147" s="167"/>
      <c r="BA147" s="167"/>
      <c r="BB147" s="167"/>
      <c r="BC147" s="167"/>
      <c r="BD147" s="167"/>
      <c r="BE147" s="167"/>
      <c r="BF147" s="167"/>
      <c r="BG147" s="167"/>
      <c r="BH147" s="167"/>
      <c r="BI147" s="167"/>
      <c r="BJ147" s="167"/>
      <c r="BK147" s="167"/>
      <c r="BL147" s="167"/>
      <c r="BM147" s="26"/>
      <c r="BN147" s="26"/>
    </row>
    <row r="148" spans="1:66">
      <c r="A148" s="26"/>
      <c r="B148" s="26"/>
      <c r="C148" s="26"/>
      <c r="D148" s="26"/>
      <c r="E148" s="26"/>
      <c r="F148" s="26"/>
      <c r="G148" s="26"/>
      <c r="H148" s="26"/>
      <c r="I148" s="26"/>
      <c r="J148" s="26"/>
      <c r="K148" s="26"/>
      <c r="L148" s="26"/>
      <c r="M148" s="26"/>
      <c r="N148" s="26"/>
      <c r="O148" s="167"/>
      <c r="P148" s="167"/>
      <c r="Q148" s="167"/>
      <c r="R148" s="167"/>
      <c r="S148" s="167"/>
      <c r="T148" s="167"/>
      <c r="U148" s="167"/>
      <c r="V148" s="167"/>
      <c r="W148" s="167"/>
      <c r="X148" s="167"/>
      <c r="Y148" s="167"/>
      <c r="Z148" s="167"/>
      <c r="AA148" s="167"/>
      <c r="AB148" s="167"/>
      <c r="AC148" s="167"/>
      <c r="AD148" s="167"/>
      <c r="AE148" s="167"/>
      <c r="AF148" s="167"/>
      <c r="AG148" s="167"/>
      <c r="AH148" s="167"/>
      <c r="AI148" s="167"/>
      <c r="AJ148" s="167"/>
      <c r="AK148" s="167"/>
      <c r="AL148" s="167"/>
      <c r="AM148" s="167"/>
      <c r="AN148" s="167"/>
      <c r="AO148" s="167"/>
      <c r="AP148" s="167"/>
      <c r="AQ148" s="167"/>
      <c r="AR148" s="167"/>
      <c r="AS148" s="167"/>
      <c r="AT148" s="167"/>
      <c r="AU148" s="167"/>
      <c r="AV148" s="167"/>
      <c r="AW148" s="167"/>
      <c r="AX148" s="167"/>
      <c r="AY148" s="167"/>
      <c r="AZ148" s="167"/>
      <c r="BA148" s="167"/>
      <c r="BB148" s="167"/>
      <c r="BC148" s="167"/>
      <c r="BD148" s="167"/>
      <c r="BE148" s="167"/>
      <c r="BF148" s="167"/>
      <c r="BG148" s="167"/>
      <c r="BH148" s="167"/>
      <c r="BI148" s="167"/>
      <c r="BJ148" s="167"/>
      <c r="BK148" s="167"/>
      <c r="BL148" s="167"/>
      <c r="BM148" s="26"/>
      <c r="BN148" s="26"/>
    </row>
    <row r="149" spans="1:66">
      <c r="A149" s="26"/>
      <c r="B149" s="26"/>
      <c r="C149" s="26"/>
      <c r="D149" s="26"/>
      <c r="E149" s="26"/>
      <c r="F149" s="26"/>
      <c r="G149" s="26"/>
      <c r="H149" s="26"/>
      <c r="I149" s="26"/>
      <c r="J149" s="26"/>
      <c r="K149" s="26"/>
      <c r="L149" s="26"/>
      <c r="M149" s="26"/>
      <c r="N149" s="26"/>
      <c r="O149" s="167"/>
      <c r="P149" s="167"/>
      <c r="Q149" s="167"/>
      <c r="R149" s="167"/>
      <c r="S149" s="167"/>
      <c r="T149" s="167"/>
      <c r="U149" s="167"/>
      <c r="V149" s="167"/>
      <c r="W149" s="167"/>
      <c r="X149" s="167"/>
      <c r="Y149" s="167"/>
      <c r="Z149" s="167"/>
      <c r="AA149" s="167"/>
      <c r="AB149" s="167"/>
      <c r="AC149" s="167"/>
      <c r="AD149" s="167"/>
      <c r="AE149" s="167"/>
      <c r="AF149" s="167"/>
      <c r="AG149" s="167"/>
      <c r="AH149" s="167"/>
      <c r="AI149" s="167"/>
      <c r="AJ149" s="167"/>
      <c r="AK149" s="167"/>
      <c r="AL149" s="167"/>
      <c r="AM149" s="167"/>
      <c r="AN149" s="167"/>
      <c r="AO149" s="167"/>
      <c r="AP149" s="167"/>
      <c r="AQ149" s="167"/>
      <c r="AR149" s="167"/>
      <c r="AS149" s="167"/>
      <c r="AT149" s="167"/>
      <c r="AU149" s="167"/>
      <c r="AV149" s="167"/>
      <c r="AW149" s="167"/>
      <c r="AX149" s="167"/>
      <c r="AY149" s="167"/>
      <c r="AZ149" s="167"/>
      <c r="BA149" s="167"/>
      <c r="BB149" s="167"/>
      <c r="BC149" s="167"/>
      <c r="BD149" s="167"/>
      <c r="BE149" s="167"/>
      <c r="BF149" s="167"/>
      <c r="BG149" s="167"/>
      <c r="BH149" s="167"/>
      <c r="BI149" s="167"/>
      <c r="BJ149" s="167"/>
      <c r="BK149" s="167"/>
      <c r="BL149" s="167"/>
      <c r="BM149" s="26"/>
      <c r="BN149" s="26"/>
    </row>
    <row r="150" spans="1:66">
      <c r="A150" s="26"/>
      <c r="B150" s="26"/>
      <c r="C150" s="26"/>
      <c r="D150" s="26"/>
      <c r="E150" s="26"/>
      <c r="F150" s="26"/>
      <c r="G150" s="26"/>
      <c r="H150" s="26"/>
      <c r="I150" s="26"/>
      <c r="J150" s="26"/>
      <c r="K150" s="26"/>
      <c r="L150" s="26"/>
      <c r="M150" s="26"/>
      <c r="N150" s="26"/>
      <c r="O150" s="167"/>
      <c r="P150" s="167"/>
      <c r="Q150" s="167"/>
      <c r="R150" s="167"/>
      <c r="S150" s="167"/>
      <c r="T150" s="167"/>
      <c r="U150" s="167"/>
      <c r="V150" s="167"/>
      <c r="W150" s="167"/>
      <c r="X150" s="167"/>
      <c r="Y150" s="167"/>
      <c r="Z150" s="167"/>
      <c r="AA150" s="167"/>
      <c r="AB150" s="167"/>
      <c r="AC150" s="167"/>
      <c r="AD150" s="167"/>
      <c r="AE150" s="167"/>
      <c r="AF150" s="167"/>
      <c r="AG150" s="167"/>
      <c r="AH150" s="167"/>
      <c r="AI150" s="167"/>
      <c r="AJ150" s="167"/>
      <c r="AK150" s="167"/>
      <c r="AL150" s="167"/>
      <c r="AM150" s="167"/>
      <c r="AN150" s="167"/>
      <c r="AO150" s="167"/>
      <c r="AP150" s="167"/>
      <c r="AQ150" s="167"/>
      <c r="AR150" s="167"/>
      <c r="AS150" s="167"/>
      <c r="AT150" s="167"/>
      <c r="AU150" s="167"/>
      <c r="AV150" s="167"/>
      <c r="AW150" s="167"/>
      <c r="AX150" s="167"/>
      <c r="AY150" s="167"/>
      <c r="AZ150" s="167"/>
      <c r="BA150" s="167"/>
      <c r="BB150" s="167"/>
      <c r="BC150" s="167"/>
      <c r="BD150" s="167"/>
      <c r="BE150" s="167"/>
      <c r="BF150" s="167"/>
      <c r="BG150" s="167"/>
      <c r="BH150" s="167"/>
      <c r="BI150" s="167"/>
      <c r="BJ150" s="167"/>
      <c r="BK150" s="167"/>
      <c r="BL150" s="167"/>
      <c r="BM150" s="26"/>
      <c r="BN150" s="26"/>
    </row>
    <row r="151" spans="1:66">
      <c r="A151" s="26"/>
      <c r="B151" s="26"/>
      <c r="C151" s="26"/>
      <c r="D151" s="26"/>
      <c r="E151" s="26"/>
      <c r="F151" s="26"/>
      <c r="G151" s="26"/>
      <c r="H151" s="26"/>
      <c r="I151" s="26"/>
      <c r="J151" s="26"/>
      <c r="K151" s="26"/>
      <c r="L151" s="26"/>
      <c r="M151" s="26"/>
      <c r="N151" s="26"/>
      <c r="O151" s="167"/>
      <c r="P151" s="167"/>
      <c r="Q151" s="167"/>
      <c r="R151" s="167"/>
      <c r="S151" s="167"/>
      <c r="T151" s="167"/>
      <c r="U151" s="167"/>
      <c r="V151" s="167"/>
      <c r="W151" s="167"/>
      <c r="X151" s="167"/>
      <c r="Y151" s="167"/>
      <c r="Z151" s="167"/>
      <c r="AA151" s="167"/>
      <c r="AB151" s="167"/>
      <c r="AC151" s="167"/>
      <c r="AD151" s="167"/>
      <c r="AE151" s="167"/>
      <c r="AF151" s="167"/>
      <c r="AG151" s="167"/>
      <c r="AH151" s="167"/>
      <c r="AI151" s="167"/>
      <c r="AJ151" s="167"/>
      <c r="AK151" s="167"/>
      <c r="AL151" s="167"/>
      <c r="AM151" s="167"/>
      <c r="AN151" s="167"/>
      <c r="AO151" s="167"/>
      <c r="AP151" s="167"/>
      <c r="AQ151" s="167"/>
      <c r="AR151" s="167"/>
      <c r="AS151" s="167"/>
      <c r="AT151" s="167"/>
      <c r="AU151" s="167"/>
      <c r="AV151" s="167"/>
      <c r="AW151" s="167"/>
      <c r="AX151" s="167"/>
      <c r="AY151" s="167"/>
      <c r="AZ151" s="167"/>
      <c r="BA151" s="167"/>
      <c r="BB151" s="167"/>
      <c r="BC151" s="167"/>
      <c r="BD151" s="167"/>
      <c r="BE151" s="167"/>
      <c r="BF151" s="167"/>
      <c r="BG151" s="167"/>
      <c r="BH151" s="167"/>
      <c r="BI151" s="167"/>
      <c r="BJ151" s="167"/>
      <c r="BK151" s="167"/>
      <c r="BL151" s="167"/>
      <c r="BM151" s="26"/>
      <c r="BN151" s="26"/>
    </row>
    <row r="152" spans="1:66">
      <c r="A152" s="26"/>
      <c r="B152" s="26"/>
      <c r="C152" s="26"/>
      <c r="D152" s="26"/>
      <c r="E152" s="26"/>
      <c r="F152" s="26"/>
      <c r="G152" s="26"/>
      <c r="H152" s="26"/>
      <c r="I152" s="26"/>
      <c r="J152" s="26"/>
      <c r="K152" s="26"/>
      <c r="L152" s="26"/>
      <c r="M152" s="26"/>
      <c r="N152" s="26"/>
      <c r="O152" s="167"/>
      <c r="P152" s="167"/>
      <c r="Q152" s="167"/>
      <c r="R152" s="167"/>
      <c r="S152" s="167"/>
      <c r="T152" s="167"/>
      <c r="U152" s="167"/>
      <c r="V152" s="167"/>
      <c r="W152" s="167"/>
      <c r="X152" s="167"/>
      <c r="Y152" s="167"/>
      <c r="Z152" s="167"/>
      <c r="AA152" s="167"/>
      <c r="AB152" s="167"/>
      <c r="AC152" s="167"/>
      <c r="AD152" s="167"/>
      <c r="AE152" s="167"/>
      <c r="AF152" s="167"/>
      <c r="AG152" s="167"/>
      <c r="AH152" s="167"/>
      <c r="AI152" s="167"/>
      <c r="AJ152" s="167"/>
      <c r="AK152" s="167"/>
      <c r="AL152" s="167"/>
      <c r="AM152" s="167"/>
      <c r="AN152" s="167"/>
      <c r="AO152" s="167"/>
      <c r="AP152" s="167"/>
      <c r="AQ152" s="167"/>
      <c r="AR152" s="167"/>
      <c r="AS152" s="167"/>
      <c r="AT152" s="167"/>
      <c r="AU152" s="167"/>
      <c r="AV152" s="167"/>
      <c r="AW152" s="167"/>
      <c r="AX152" s="167"/>
      <c r="AY152" s="167"/>
      <c r="AZ152" s="167"/>
      <c r="BA152" s="167"/>
      <c r="BB152" s="167"/>
      <c r="BC152" s="167"/>
      <c r="BD152" s="167"/>
      <c r="BE152" s="167"/>
      <c r="BF152" s="167"/>
      <c r="BG152" s="167"/>
      <c r="BH152" s="167"/>
      <c r="BI152" s="167"/>
      <c r="BJ152" s="167"/>
      <c r="BK152" s="167"/>
      <c r="BL152" s="167"/>
      <c r="BM152" s="26"/>
      <c r="BN152" s="26"/>
    </row>
    <row r="153" spans="1:66">
      <c r="A153" s="26"/>
      <c r="B153" s="26"/>
      <c r="C153" s="26"/>
      <c r="D153" s="26"/>
      <c r="E153" s="26"/>
      <c r="F153" s="26"/>
      <c r="G153" s="26"/>
      <c r="H153" s="26"/>
      <c r="I153" s="26"/>
      <c r="J153" s="26"/>
      <c r="K153" s="26"/>
      <c r="L153" s="26"/>
      <c r="M153" s="26"/>
      <c r="N153" s="26"/>
      <c r="O153" s="167"/>
      <c r="P153" s="167"/>
      <c r="Q153" s="167"/>
      <c r="R153" s="167"/>
      <c r="S153" s="167"/>
      <c r="T153" s="167"/>
      <c r="U153" s="167"/>
      <c r="V153" s="167"/>
      <c r="W153" s="167"/>
      <c r="X153" s="167"/>
      <c r="Y153" s="167"/>
      <c r="Z153" s="167"/>
      <c r="AA153" s="167"/>
      <c r="AB153" s="167"/>
      <c r="AC153" s="167"/>
      <c r="AD153" s="167"/>
      <c r="AE153" s="167"/>
      <c r="AF153" s="167"/>
      <c r="AG153" s="167"/>
      <c r="AH153" s="167"/>
      <c r="AI153" s="167"/>
      <c r="AJ153" s="167"/>
      <c r="AK153" s="167"/>
      <c r="AL153" s="167"/>
      <c r="AM153" s="167"/>
      <c r="AN153" s="167"/>
      <c r="AO153" s="167"/>
      <c r="AP153" s="167"/>
      <c r="AQ153" s="167"/>
      <c r="AR153" s="167"/>
      <c r="AS153" s="167"/>
      <c r="AT153" s="167"/>
      <c r="AU153" s="167"/>
      <c r="AV153" s="167"/>
      <c r="AW153" s="167"/>
      <c r="AX153" s="167"/>
      <c r="AY153" s="167"/>
      <c r="AZ153" s="167"/>
      <c r="BA153" s="167"/>
      <c r="BB153" s="167"/>
      <c r="BC153" s="167"/>
      <c r="BD153" s="167"/>
      <c r="BE153" s="167"/>
      <c r="BF153" s="167"/>
      <c r="BG153" s="167"/>
      <c r="BH153" s="167"/>
      <c r="BI153" s="167"/>
      <c r="BJ153" s="167"/>
      <c r="BK153" s="167"/>
      <c r="BL153" s="167"/>
      <c r="BM153" s="26"/>
      <c r="BN153" s="26"/>
    </row>
    <row r="154" spans="1:66">
      <c r="A154" s="26"/>
      <c r="B154" s="26"/>
      <c r="C154" s="26"/>
      <c r="D154" s="26"/>
      <c r="E154" s="26"/>
      <c r="F154" s="26"/>
      <c r="G154" s="26"/>
      <c r="H154" s="26"/>
      <c r="I154" s="26"/>
      <c r="J154" s="26"/>
      <c r="K154" s="26"/>
      <c r="L154" s="26"/>
      <c r="M154" s="26"/>
      <c r="N154" s="26"/>
      <c r="O154" s="167"/>
      <c r="P154" s="167"/>
      <c r="Q154" s="167"/>
      <c r="R154" s="167"/>
      <c r="S154" s="167"/>
      <c r="T154" s="167"/>
      <c r="U154" s="167"/>
      <c r="V154" s="167"/>
      <c r="W154" s="167"/>
      <c r="X154" s="167"/>
      <c r="Y154" s="167"/>
      <c r="Z154" s="167"/>
      <c r="AA154" s="167"/>
      <c r="AB154" s="167"/>
      <c r="AC154" s="167"/>
      <c r="AD154" s="167"/>
      <c r="AE154" s="167"/>
      <c r="AF154" s="167"/>
      <c r="AG154" s="167"/>
      <c r="AH154" s="167"/>
      <c r="AI154" s="167"/>
      <c r="AJ154" s="167"/>
      <c r="AK154" s="167"/>
      <c r="AL154" s="167"/>
      <c r="AM154" s="167"/>
      <c r="AN154" s="167"/>
      <c r="AO154" s="167"/>
      <c r="AP154" s="167"/>
      <c r="AQ154" s="167"/>
      <c r="AR154" s="167"/>
      <c r="AS154" s="167"/>
      <c r="AT154" s="167"/>
      <c r="AU154" s="167"/>
      <c r="AV154" s="167"/>
      <c r="AW154" s="167"/>
      <c r="AX154" s="167"/>
      <c r="AY154" s="167"/>
      <c r="AZ154" s="167"/>
      <c r="BA154" s="167"/>
      <c r="BB154" s="167"/>
      <c r="BC154" s="167"/>
      <c r="BD154" s="167"/>
      <c r="BE154" s="167"/>
      <c r="BF154" s="167"/>
      <c r="BG154" s="167"/>
      <c r="BH154" s="167"/>
      <c r="BI154" s="167"/>
      <c r="BJ154" s="167"/>
      <c r="BK154" s="167"/>
      <c r="BL154" s="167"/>
      <c r="BM154" s="26"/>
      <c r="BN154" s="26"/>
    </row>
    <row r="155" spans="1:66">
      <c r="A155" s="26"/>
      <c r="B155" s="26"/>
      <c r="C155" s="26"/>
      <c r="D155" s="26"/>
      <c r="E155" s="26"/>
      <c r="F155" s="26"/>
      <c r="G155" s="26"/>
      <c r="H155" s="26"/>
      <c r="I155" s="26"/>
      <c r="J155" s="26"/>
      <c r="K155" s="26"/>
      <c r="L155" s="26"/>
      <c r="M155" s="26"/>
      <c r="N155" s="26"/>
      <c r="O155" s="167"/>
      <c r="P155" s="167"/>
      <c r="Q155" s="167"/>
      <c r="R155" s="167"/>
      <c r="S155" s="167"/>
      <c r="T155" s="167"/>
      <c r="U155" s="167"/>
      <c r="V155" s="167"/>
      <c r="W155" s="167"/>
      <c r="X155" s="167"/>
      <c r="Y155" s="167"/>
      <c r="Z155" s="167"/>
      <c r="AA155" s="167"/>
      <c r="AB155" s="167"/>
      <c r="AC155" s="167"/>
      <c r="AD155" s="167"/>
      <c r="AE155" s="167"/>
      <c r="AF155" s="167"/>
      <c r="AG155" s="167"/>
      <c r="AH155" s="167"/>
      <c r="AI155" s="167"/>
      <c r="AJ155" s="167"/>
      <c r="AK155" s="167"/>
      <c r="AL155" s="167"/>
      <c r="AM155" s="167"/>
      <c r="AN155" s="167"/>
      <c r="AO155" s="167"/>
      <c r="AP155" s="167"/>
      <c r="AQ155" s="167"/>
      <c r="AR155" s="167"/>
      <c r="AS155" s="167"/>
      <c r="AT155" s="167"/>
      <c r="AU155" s="167"/>
      <c r="AV155" s="167"/>
      <c r="AW155" s="167"/>
      <c r="AX155" s="167"/>
      <c r="AY155" s="167"/>
      <c r="AZ155" s="167"/>
      <c r="BA155" s="167"/>
      <c r="BB155" s="167"/>
      <c r="BC155" s="167"/>
      <c r="BD155" s="167"/>
      <c r="BE155" s="167"/>
      <c r="BF155" s="167"/>
      <c r="BG155" s="167"/>
      <c r="BH155" s="167"/>
      <c r="BI155" s="167"/>
      <c r="BJ155" s="167"/>
      <c r="BK155" s="167"/>
      <c r="BL155" s="167"/>
      <c r="BM155" s="26"/>
      <c r="BN155" s="26"/>
    </row>
    <row r="156" spans="1:66">
      <c r="A156" s="26"/>
      <c r="B156" s="26"/>
      <c r="C156" s="26"/>
      <c r="D156" s="26"/>
      <c r="E156" s="26"/>
      <c r="F156" s="26"/>
      <c r="G156" s="26"/>
      <c r="H156" s="26"/>
      <c r="I156" s="26"/>
      <c r="J156" s="26"/>
      <c r="K156" s="26"/>
      <c r="L156" s="26"/>
      <c r="M156" s="26"/>
      <c r="N156" s="26"/>
      <c r="O156" s="167"/>
      <c r="P156" s="167"/>
      <c r="Q156" s="167"/>
      <c r="R156" s="167"/>
      <c r="S156" s="167"/>
      <c r="T156" s="167"/>
      <c r="U156" s="167"/>
      <c r="V156" s="167"/>
      <c r="W156" s="167"/>
      <c r="X156" s="167"/>
      <c r="Y156" s="167"/>
      <c r="Z156" s="167"/>
      <c r="AA156" s="167"/>
      <c r="AB156" s="167"/>
      <c r="AC156" s="167"/>
      <c r="AD156" s="167"/>
      <c r="AE156" s="167"/>
      <c r="AF156" s="167"/>
      <c r="AG156" s="167"/>
      <c r="AH156" s="167"/>
      <c r="AI156" s="167"/>
      <c r="AJ156" s="167"/>
      <c r="AK156" s="167"/>
      <c r="AL156" s="167"/>
      <c r="AM156" s="167"/>
      <c r="AN156" s="167"/>
      <c r="AO156" s="167"/>
      <c r="AP156" s="167"/>
      <c r="AQ156" s="167"/>
      <c r="AR156" s="167"/>
      <c r="AS156" s="167"/>
      <c r="AT156" s="167"/>
      <c r="AU156" s="167"/>
      <c r="AV156" s="167"/>
      <c r="AW156" s="167"/>
      <c r="AX156" s="167"/>
      <c r="AY156" s="167"/>
      <c r="AZ156" s="167"/>
      <c r="BA156" s="167"/>
      <c r="BB156" s="167"/>
      <c r="BC156" s="167"/>
      <c r="BD156" s="167"/>
      <c r="BE156" s="167"/>
      <c r="BF156" s="167"/>
      <c r="BG156" s="167"/>
      <c r="BH156" s="167"/>
      <c r="BI156" s="167"/>
      <c r="BJ156" s="167"/>
      <c r="BK156" s="167"/>
      <c r="BL156" s="167"/>
      <c r="BM156" s="26"/>
      <c r="BN156" s="26"/>
    </row>
    <row r="157" spans="1:66">
      <c r="A157" s="26"/>
      <c r="B157" s="26"/>
      <c r="C157" s="26"/>
      <c r="D157" s="26"/>
      <c r="E157" s="26"/>
      <c r="F157" s="26"/>
      <c r="G157" s="26"/>
      <c r="H157" s="26"/>
      <c r="I157" s="26"/>
      <c r="J157" s="26"/>
      <c r="K157" s="26"/>
      <c r="L157" s="26"/>
      <c r="M157" s="26"/>
      <c r="N157" s="26"/>
      <c r="O157" s="167"/>
      <c r="P157" s="167"/>
      <c r="Q157" s="167"/>
      <c r="R157" s="167"/>
      <c r="S157" s="167"/>
      <c r="T157" s="167"/>
      <c r="U157" s="167"/>
      <c r="V157" s="167"/>
      <c r="W157" s="167"/>
      <c r="X157" s="167"/>
      <c r="Y157" s="167"/>
      <c r="Z157" s="167"/>
      <c r="AA157" s="167"/>
      <c r="AB157" s="167"/>
      <c r="AC157" s="167"/>
      <c r="AD157" s="167"/>
      <c r="AE157" s="167"/>
      <c r="AF157" s="167"/>
      <c r="AG157" s="167"/>
      <c r="AH157" s="167"/>
      <c r="AI157" s="167"/>
      <c r="AJ157" s="167"/>
      <c r="AK157" s="167"/>
      <c r="AL157" s="167"/>
      <c r="AM157" s="167"/>
      <c r="AN157" s="167"/>
      <c r="AO157" s="167"/>
      <c r="AP157" s="167"/>
      <c r="AQ157" s="167"/>
      <c r="AR157" s="167"/>
      <c r="AS157" s="167"/>
      <c r="AT157" s="167"/>
      <c r="AU157" s="167"/>
      <c r="AV157" s="167"/>
      <c r="AW157" s="167"/>
      <c r="AX157" s="167"/>
      <c r="AY157" s="167"/>
      <c r="AZ157" s="167"/>
      <c r="BA157" s="167"/>
      <c r="BB157" s="167"/>
      <c r="BC157" s="167"/>
      <c r="BD157" s="167"/>
      <c r="BE157" s="167"/>
      <c r="BF157" s="167"/>
      <c r="BG157" s="167"/>
      <c r="BH157" s="167"/>
      <c r="BI157" s="167"/>
      <c r="BJ157" s="167"/>
      <c r="BK157" s="167"/>
      <c r="BL157" s="167"/>
      <c r="BM157" s="26"/>
      <c r="BN157" s="26"/>
    </row>
    <row r="158" spans="1:66">
      <c r="A158" s="26"/>
      <c r="B158" s="26"/>
      <c r="C158" s="26"/>
      <c r="D158" s="26"/>
      <c r="E158" s="26"/>
      <c r="F158" s="26"/>
      <c r="G158" s="26"/>
      <c r="H158" s="26"/>
      <c r="I158" s="26"/>
      <c r="J158" s="26"/>
      <c r="K158" s="26"/>
      <c r="L158" s="26"/>
      <c r="M158" s="26"/>
      <c r="N158" s="26"/>
      <c r="O158" s="167"/>
      <c r="P158" s="167"/>
      <c r="Q158" s="167"/>
      <c r="R158" s="167"/>
      <c r="S158" s="167"/>
      <c r="T158" s="167"/>
      <c r="U158" s="167"/>
      <c r="V158" s="167"/>
      <c r="W158" s="167"/>
      <c r="X158" s="167"/>
      <c r="Y158" s="167"/>
      <c r="Z158" s="167"/>
      <c r="AA158" s="167"/>
      <c r="AB158" s="167"/>
      <c r="AC158" s="167"/>
      <c r="AD158" s="167"/>
      <c r="AE158" s="167"/>
      <c r="AF158" s="167"/>
      <c r="AG158" s="167"/>
      <c r="AH158" s="167"/>
      <c r="AI158" s="167"/>
      <c r="AJ158" s="167"/>
      <c r="AK158" s="167"/>
      <c r="AL158" s="167"/>
      <c r="AM158" s="167"/>
      <c r="AN158" s="167"/>
      <c r="AO158" s="167"/>
      <c r="AP158" s="167"/>
      <c r="AQ158" s="167"/>
      <c r="AR158" s="167"/>
      <c r="AS158" s="167"/>
      <c r="AT158" s="167"/>
      <c r="AU158" s="167"/>
      <c r="AV158" s="167"/>
      <c r="AW158" s="167"/>
      <c r="AX158" s="167"/>
      <c r="AY158" s="167"/>
      <c r="AZ158" s="167"/>
      <c r="BA158" s="167"/>
      <c r="BB158" s="167"/>
      <c r="BC158" s="167"/>
      <c r="BD158" s="167"/>
      <c r="BE158" s="167"/>
      <c r="BF158" s="167"/>
      <c r="BG158" s="167"/>
      <c r="BH158" s="167"/>
      <c r="BI158" s="167"/>
      <c r="BJ158" s="167"/>
      <c r="BK158" s="167"/>
      <c r="BL158" s="167"/>
      <c r="BM158" s="26"/>
      <c r="BN158" s="26"/>
    </row>
  </sheetData>
  <phoneticPr fontId="77" type="noConversion"/>
  <pageMargins left="0.511811024" right="0.511811024" top="0.78740157499999996" bottom="0.78740157499999996" header="0.31496062000000002" footer="0.31496062000000002"/>
  <pageSetup paperSize="9" orientation="portrait" horizontalDpi="200" verticalDpi="200" r:id="rId1"/>
  <drawing r:id="rId2"/>
  <legacyDrawing r:id="rId3"/>
</worksheet>
</file>

<file path=xl/worksheets/sheet6.xml><?xml version="1.0" encoding="utf-8"?>
<worksheet xmlns="http://schemas.openxmlformats.org/spreadsheetml/2006/main" xmlns:r="http://schemas.openxmlformats.org/officeDocument/2006/relationships">
  <sheetPr codeName="Plan7"/>
  <dimension ref="A1:W306"/>
  <sheetViews>
    <sheetView zoomScale="85" zoomScaleNormal="85" workbookViewId="0"/>
  </sheetViews>
  <sheetFormatPr defaultRowHeight="12.75"/>
  <cols>
    <col min="1" max="2" width="9.7109375" style="1" customWidth="1"/>
    <col min="3" max="3" width="10.7109375" style="3" customWidth="1"/>
    <col min="4" max="6" width="9.7109375" style="3" customWidth="1"/>
    <col min="7" max="7" width="11.5703125" customWidth="1"/>
    <col min="8" max="9" width="7.28515625" customWidth="1"/>
    <col min="10" max="10" width="13.28515625" customWidth="1"/>
    <col min="11" max="11" width="9.5703125" bestFit="1" customWidth="1"/>
    <col min="12" max="13" width="10" customWidth="1"/>
    <col min="14" max="14" width="12" customWidth="1"/>
    <col min="15" max="15" width="10.28515625" customWidth="1"/>
    <col min="16" max="16" width="15.140625" customWidth="1"/>
    <col min="17" max="17" width="11.7109375" customWidth="1"/>
    <col min="18" max="18" width="12.28515625" customWidth="1"/>
    <col min="19" max="19" width="10" customWidth="1"/>
    <col min="20" max="20" width="11.85546875" customWidth="1"/>
  </cols>
  <sheetData>
    <row r="1" spans="1:23" ht="24" customHeight="1">
      <c r="A1" s="408"/>
      <c r="B1" s="408"/>
      <c r="C1" s="409" t="s">
        <v>648</v>
      </c>
      <c r="D1" s="410"/>
      <c r="E1" s="410"/>
      <c r="F1" s="410"/>
      <c r="G1" s="410"/>
      <c r="H1" s="410"/>
      <c r="I1" s="410"/>
      <c r="J1" s="410"/>
      <c r="K1" s="410"/>
      <c r="L1" s="410"/>
      <c r="M1" s="410"/>
      <c r="N1" s="410"/>
      <c r="O1" s="410"/>
      <c r="P1" s="410"/>
      <c r="Q1" s="410"/>
      <c r="R1" s="410"/>
      <c r="S1" s="613"/>
      <c r="T1" s="1123"/>
      <c r="U1" s="1124" t="s">
        <v>598</v>
      </c>
      <c r="V1" s="1124"/>
      <c r="W1" s="1125"/>
    </row>
    <row r="2" spans="1:23" ht="24.95" customHeight="1" thickBot="1">
      <c r="A2" s="394" t="s">
        <v>647</v>
      </c>
      <c r="B2" s="153"/>
      <c r="C2" s="154"/>
      <c r="D2" s="154"/>
      <c r="E2" s="154"/>
      <c r="F2" s="155"/>
      <c r="G2" s="381"/>
      <c r="H2" s="382" t="s">
        <v>657</v>
      </c>
      <c r="I2" s="383"/>
      <c r="J2" s="384" t="s">
        <v>658</v>
      </c>
      <c r="K2" s="385"/>
      <c r="L2" s="614"/>
      <c r="M2" s="615" t="s">
        <v>803</v>
      </c>
      <c r="N2" s="385"/>
      <c r="O2" s="616"/>
      <c r="P2" s="617"/>
      <c r="Q2" s="382" t="s">
        <v>804</v>
      </c>
      <c r="R2" s="617"/>
      <c r="S2" s="383"/>
      <c r="T2" s="618"/>
      <c r="U2" s="611" t="s">
        <v>805</v>
      </c>
      <c r="V2" s="611"/>
      <c r="W2" s="612"/>
    </row>
    <row r="3" spans="1:23" ht="24.95" customHeight="1" thickTop="1">
      <c r="A3" s="142"/>
      <c r="B3" s="142"/>
      <c r="C3" s="142"/>
      <c r="D3" s="140"/>
      <c r="E3" s="143"/>
      <c r="F3" s="144"/>
      <c r="G3" s="378"/>
      <c r="H3" s="379" t="s">
        <v>652</v>
      </c>
      <c r="I3" s="182">
        <v>85</v>
      </c>
      <c r="J3" s="380" t="s">
        <v>654</v>
      </c>
      <c r="K3" s="183">
        <v>0</v>
      </c>
      <c r="L3" s="619"/>
      <c r="M3" s="620" t="s">
        <v>806</v>
      </c>
      <c r="N3" s="621">
        <v>8.5396420668070364E-2</v>
      </c>
      <c r="O3" s="622"/>
      <c r="P3" s="623" t="s">
        <v>807</v>
      </c>
      <c r="Q3" s="624">
        <v>1</v>
      </c>
      <c r="R3" s="625" t="s">
        <v>808</v>
      </c>
      <c r="S3" s="626">
        <v>0.38695946908090278</v>
      </c>
      <c r="T3" s="627" t="s">
        <v>809</v>
      </c>
      <c r="U3" s="628" t="s">
        <v>810</v>
      </c>
      <c r="V3" s="628" t="s">
        <v>811</v>
      </c>
      <c r="W3" s="629"/>
    </row>
    <row r="4" spans="1:23" ht="24.95" customHeight="1" thickBot="1">
      <c r="A4" s="140"/>
      <c r="B4" s="144"/>
      <c r="C4" s="145"/>
      <c r="D4" s="145"/>
      <c r="E4" s="143"/>
      <c r="F4" s="143"/>
      <c r="G4" s="146"/>
      <c r="H4" s="147" t="s">
        <v>653</v>
      </c>
      <c r="I4" s="179">
        <v>300</v>
      </c>
      <c r="J4" s="180" t="s">
        <v>655</v>
      </c>
      <c r="K4" s="181">
        <v>49.999999998544808</v>
      </c>
      <c r="L4" s="630"/>
      <c r="M4" s="631" t="s">
        <v>812</v>
      </c>
      <c r="N4" s="632">
        <v>0.99956844021720814</v>
      </c>
      <c r="O4" s="633"/>
      <c r="P4" s="634"/>
      <c r="Q4" s="635" t="s">
        <v>813</v>
      </c>
      <c r="R4" s="634"/>
      <c r="S4" s="636"/>
      <c r="T4" s="637" t="s">
        <v>814</v>
      </c>
      <c r="U4" s="635"/>
      <c r="V4" s="634"/>
      <c r="W4" s="636"/>
    </row>
    <row r="5" spans="1:23" ht="20.100000000000001" customHeight="1" thickTop="1">
      <c r="A5" s="148" t="s">
        <v>324</v>
      </c>
      <c r="B5" s="149" t="s">
        <v>331</v>
      </c>
      <c r="C5" s="150" t="s">
        <v>650</v>
      </c>
      <c r="D5" s="150" t="s">
        <v>312</v>
      </c>
      <c r="E5" s="26"/>
      <c r="F5" s="26"/>
      <c r="G5" s="26"/>
      <c r="H5" s="26"/>
      <c r="I5" s="26"/>
      <c r="J5" s="26"/>
      <c r="K5" s="26"/>
      <c r="L5" s="26"/>
      <c r="M5" s="141"/>
      <c r="N5" s="141"/>
      <c r="O5" s="682" t="s">
        <v>815</v>
      </c>
      <c r="P5" s="638" t="s">
        <v>324</v>
      </c>
      <c r="Q5" s="639" t="s">
        <v>331</v>
      </c>
      <c r="R5" s="640" t="s">
        <v>312</v>
      </c>
      <c r="S5" s="641" t="s">
        <v>802</v>
      </c>
      <c r="T5" s="642" t="s">
        <v>649</v>
      </c>
      <c r="U5" s="150" t="s">
        <v>650</v>
      </c>
      <c r="V5" s="150" t="s">
        <v>312</v>
      </c>
      <c r="W5" s="151" t="s">
        <v>651</v>
      </c>
    </row>
    <row r="6" spans="1:23" ht="15" customHeight="1">
      <c r="A6" s="6">
        <v>0</v>
      </c>
      <c r="B6" s="6">
        <v>2.2482361616632276</v>
      </c>
      <c r="C6" s="125">
        <v>2.2477912303889083</v>
      </c>
      <c r="D6" s="125">
        <v>4.4394079910987393E-2</v>
      </c>
      <c r="E6" s="26"/>
      <c r="F6" s="26"/>
      <c r="G6" s="26"/>
      <c r="H6" s="26"/>
      <c r="I6" s="26"/>
      <c r="J6" s="26"/>
      <c r="K6" s="26"/>
      <c r="L6" s="26"/>
      <c r="M6" s="26"/>
      <c r="N6" s="26"/>
      <c r="O6" s="294">
        <v>1</v>
      </c>
      <c r="P6" s="643">
        <v>10.047833361532291</v>
      </c>
      <c r="Q6" s="644">
        <v>4.6069860909514464</v>
      </c>
      <c r="R6" s="645">
        <v>1.8216420994200988</v>
      </c>
      <c r="S6" s="646">
        <v>1.2228618118471162E-3</v>
      </c>
      <c r="T6" s="125">
        <v>0</v>
      </c>
      <c r="U6" s="125">
        <v>2.2477912303889083</v>
      </c>
      <c r="V6" s="125">
        <v>4.438840152905367E-2</v>
      </c>
      <c r="W6" s="125">
        <v>0</v>
      </c>
    </row>
    <row r="7" spans="1:23" ht="15" customHeight="1">
      <c r="A7" s="6">
        <v>2.1441188422613777</v>
      </c>
      <c r="B7" s="932">
        <v>2.3647922005853386</v>
      </c>
      <c r="C7" s="125">
        <v>2.3653543093932039</v>
      </c>
      <c r="D7" s="125">
        <v>7.6443676588939719E-2</v>
      </c>
      <c r="E7" s="26"/>
      <c r="F7" s="26"/>
      <c r="G7" s="26"/>
      <c r="H7" s="26"/>
      <c r="I7" s="26"/>
      <c r="J7" s="26"/>
      <c r="K7" s="26"/>
      <c r="L7" s="26"/>
      <c r="M7" s="26"/>
      <c r="N7" s="26"/>
      <c r="O7" s="294">
        <v>2</v>
      </c>
      <c r="P7" s="643">
        <v>30.01250000066441</v>
      </c>
      <c r="Q7" s="644">
        <v>9.3392150292822347</v>
      </c>
      <c r="R7" s="645">
        <v>1.8869309236622829</v>
      </c>
      <c r="S7" s="646">
        <v>-3.4716549636060268E-3</v>
      </c>
      <c r="T7" s="125">
        <v>0.16666666666181604</v>
      </c>
      <c r="U7" s="125">
        <v>2.2551998129407687</v>
      </c>
      <c r="V7" s="125">
        <v>4.4577872352090181E-2</v>
      </c>
      <c r="W7" s="125">
        <v>1.1356915408639271E-3</v>
      </c>
    </row>
    <row r="8" spans="1:23" ht="15" customHeight="1">
      <c r="A8" s="6">
        <v>4.004995925060939</v>
      </c>
      <c r="B8" s="6">
        <v>2.5506499922129273</v>
      </c>
      <c r="C8" s="125">
        <v>2.5529887795508976</v>
      </c>
      <c r="D8" s="125">
        <v>0.12440848293731632</v>
      </c>
      <c r="E8" s="26"/>
      <c r="F8" s="26"/>
      <c r="G8" s="26"/>
      <c r="H8" s="26"/>
      <c r="I8" s="26"/>
      <c r="J8" s="26"/>
      <c r="K8" s="26"/>
      <c r="L8" s="26"/>
      <c r="M8" s="26"/>
      <c r="N8" s="26"/>
      <c r="O8" s="294">
        <v>3</v>
      </c>
      <c r="P8" s="643"/>
      <c r="Q8" s="644"/>
      <c r="R8" s="645"/>
      <c r="S8" s="646"/>
      <c r="T8" s="125">
        <v>0.33333333332363208</v>
      </c>
      <c r="U8" s="125">
        <v>2.2626714893403927</v>
      </c>
      <c r="V8" s="125">
        <v>4.514590626534639E-2</v>
      </c>
      <c r="W8" s="125">
        <v>2.2713830817486708E-3</v>
      </c>
    </row>
    <row r="9" spans="1:23" ht="15" customHeight="1">
      <c r="A9" s="933">
        <v>5.5376416989020072</v>
      </c>
      <c r="B9" s="6">
        <v>2.7350617167038536</v>
      </c>
      <c r="C9" s="125">
        <v>2.7241842697076466</v>
      </c>
      <c r="D9" s="125">
        <v>6.785983666046537E-2</v>
      </c>
      <c r="E9" s="26"/>
      <c r="F9" s="26"/>
      <c r="G9" s="26"/>
      <c r="H9" s="26"/>
      <c r="I9" s="26"/>
      <c r="J9" s="26"/>
      <c r="K9" s="26"/>
      <c r="L9" s="26"/>
      <c r="M9" s="26"/>
      <c r="N9" s="26"/>
      <c r="O9" s="294">
        <v>4</v>
      </c>
      <c r="P9" s="643"/>
      <c r="Q9" s="644"/>
      <c r="R9" s="645"/>
      <c r="S9" s="646"/>
      <c r="T9" s="125">
        <v>0.49999999998544808</v>
      </c>
      <c r="U9" s="125">
        <v>2.2702693534355443</v>
      </c>
      <c r="V9" s="125">
        <v>4.6092503263493213E-2</v>
      </c>
      <c r="W9" s="125">
        <v>3.4070746226334148E-3</v>
      </c>
    </row>
    <row r="10" spans="1:23" ht="15" customHeight="1">
      <c r="A10" s="6">
        <v>6.745316281740088</v>
      </c>
      <c r="B10" s="6">
        <v>2.8001589143336103</v>
      </c>
      <c r="C10" s="125">
        <v>2.8168921085253715</v>
      </c>
      <c r="D10" s="125">
        <v>0.15152556009756529</v>
      </c>
      <c r="E10" s="26"/>
      <c r="F10" s="26"/>
      <c r="G10" s="26"/>
      <c r="H10" s="26"/>
      <c r="I10" s="26"/>
      <c r="J10" s="26"/>
      <c r="K10" s="26"/>
      <c r="L10" s="26"/>
      <c r="M10" s="26"/>
      <c r="N10" s="26"/>
      <c r="O10" s="294">
        <v>5</v>
      </c>
      <c r="P10" s="643"/>
      <c r="Q10" s="644"/>
      <c r="R10" s="645"/>
      <c r="S10" s="646"/>
      <c r="T10" s="125">
        <v>0.66666666664726415</v>
      </c>
      <c r="U10" s="125">
        <v>2.2780564990739869</v>
      </c>
      <c r="V10" s="125">
        <v>4.7417663346530657E-2</v>
      </c>
      <c r="W10" s="125">
        <v>4.5427581698915644E-3</v>
      </c>
    </row>
    <row r="11" spans="1:23" ht="15" customHeight="1">
      <c r="A11" s="6">
        <v>7.6638402344542556</v>
      </c>
      <c r="B11" s="6">
        <v>3.0210089771607134</v>
      </c>
      <c r="C11" s="125">
        <v>3.0105489912522088</v>
      </c>
      <c r="D11" s="125">
        <v>0.23935895754652789</v>
      </c>
      <c r="E11" s="26"/>
      <c r="F11" s="26"/>
      <c r="G11" s="26"/>
      <c r="H11" s="26"/>
      <c r="I11" s="26"/>
      <c r="J11" s="26"/>
      <c r="K11" s="26"/>
      <c r="L11" s="26"/>
      <c r="M11" s="26"/>
      <c r="N11" s="26"/>
      <c r="O11" s="294">
        <v>6</v>
      </c>
      <c r="P11" s="643"/>
      <c r="Q11" s="644"/>
      <c r="R11" s="645"/>
      <c r="S11" s="646"/>
      <c r="T11" s="125">
        <v>0.83333333330908022</v>
      </c>
      <c r="U11" s="125">
        <v>2.2860960201034839</v>
      </c>
      <c r="V11" s="125">
        <v>4.9121386519787792E-2</v>
      </c>
      <c r="W11" s="125">
        <v>5.6784577043820861E-3</v>
      </c>
    </row>
    <row r="12" spans="1:23" ht="15" customHeight="1">
      <c r="A12" s="6">
        <v>8.3438355490216054</v>
      </c>
      <c r="B12" s="6">
        <v>3.2059162355606015</v>
      </c>
      <c r="C12" s="125">
        <v>3.1735117715601051</v>
      </c>
      <c r="D12" s="125">
        <v>0.24585077064987898</v>
      </c>
      <c r="E12" s="26"/>
      <c r="F12" s="26"/>
      <c r="G12" s="26"/>
      <c r="H12" s="26"/>
      <c r="I12" s="26"/>
      <c r="J12" s="26"/>
      <c r="K12" s="26"/>
      <c r="L12" s="26"/>
      <c r="M12" s="26"/>
      <c r="N12" s="26"/>
      <c r="O12" s="294">
        <v>7</v>
      </c>
      <c r="P12" s="643"/>
      <c r="Q12" s="644"/>
      <c r="R12" s="645"/>
      <c r="S12" s="646"/>
      <c r="T12" s="125">
        <v>0.99999999997089617</v>
      </c>
      <c r="U12" s="125">
        <v>2.2944510103717999</v>
      </c>
      <c r="V12" s="125">
        <v>5.1203672775271013E-2</v>
      </c>
      <c r="W12" s="125">
        <v>6.8141332580552742E-3</v>
      </c>
    </row>
    <row r="13" spans="1:23" ht="15" customHeight="1">
      <c r="A13" s="6">
        <v>8.8374652448692359</v>
      </c>
      <c r="B13" s="6">
        <v>3.3224174642237614</v>
      </c>
      <c r="C13" s="125">
        <v>3.3191185459523194</v>
      </c>
      <c r="D13" s="125">
        <v>0.40254228756618149</v>
      </c>
      <c r="E13" s="26"/>
      <c r="F13" s="26"/>
      <c r="G13" s="26"/>
      <c r="H13" s="26"/>
      <c r="I13" s="26"/>
      <c r="J13" s="26"/>
      <c r="K13" s="26"/>
      <c r="L13" s="26"/>
      <c r="M13" s="26"/>
      <c r="N13" s="26"/>
      <c r="O13" s="294">
        <v>8</v>
      </c>
      <c r="P13" s="643"/>
      <c r="Q13" s="644"/>
      <c r="R13" s="645"/>
      <c r="S13" s="646"/>
      <c r="T13" s="125">
        <v>1.1666666666327123</v>
      </c>
      <c r="U13" s="125">
        <v>2.3031845637266972</v>
      </c>
      <c r="V13" s="125">
        <v>5.3664522120973918E-2</v>
      </c>
      <c r="W13" s="125">
        <v>7.9498327925249784E-3</v>
      </c>
    </row>
    <row r="14" spans="1:23" ht="15" customHeight="1">
      <c r="A14" s="6">
        <v>9.1911136594717391</v>
      </c>
      <c r="B14" s="6">
        <v>3.5577328532705077</v>
      </c>
      <c r="C14" s="125">
        <v>3.4994963911690729</v>
      </c>
      <c r="D14" s="125">
        <v>0.68128674965399272</v>
      </c>
      <c r="E14" s="26"/>
      <c r="F14" s="26"/>
      <c r="G14" s="26"/>
      <c r="H14" s="26"/>
      <c r="I14" s="26"/>
      <c r="J14" s="26"/>
      <c r="K14" s="26"/>
      <c r="L14" s="26"/>
      <c r="M14" s="26"/>
      <c r="N14" s="26"/>
      <c r="O14" s="294">
        <v>9</v>
      </c>
      <c r="P14" s="643"/>
      <c r="Q14" s="644"/>
      <c r="R14" s="645"/>
      <c r="S14" s="646"/>
      <c r="T14" s="125">
        <v>1.3333333332945283</v>
      </c>
      <c r="U14" s="125">
        <v>2.3123597740159409</v>
      </c>
      <c r="V14" s="125">
        <v>5.650393455156745E-2</v>
      </c>
      <c r="W14" s="125">
        <v>9.0855163398039455E-3</v>
      </c>
    </row>
    <row r="15" spans="1:23" ht="15" customHeight="1">
      <c r="A15" s="6">
        <v>9.4426845156704076</v>
      </c>
      <c r="B15" s="6">
        <v>3.6543097997180687</v>
      </c>
      <c r="C15" s="125">
        <v>3.702783938622709</v>
      </c>
      <c r="D15" s="125">
        <v>1.0343538347538883</v>
      </c>
      <c r="E15" s="26"/>
      <c r="F15" s="26"/>
      <c r="G15" s="26"/>
      <c r="H15" s="26"/>
      <c r="I15" s="26"/>
      <c r="J15" s="26"/>
      <c r="K15" s="26"/>
      <c r="L15" s="26"/>
      <c r="M15" s="26"/>
      <c r="N15" s="26"/>
      <c r="O15" s="294">
        <v>10</v>
      </c>
      <c r="P15" s="643"/>
      <c r="Q15" s="644"/>
      <c r="R15" s="645"/>
      <c r="S15" s="646"/>
      <c r="T15" s="125">
        <v>1.4999999999563443</v>
      </c>
      <c r="U15" s="125">
        <v>2.3220397350872939</v>
      </c>
      <c r="V15" s="125">
        <v>5.9721910067051596E-2</v>
      </c>
      <c r="W15" s="125">
        <v>1.0221191893477134E-2</v>
      </c>
    </row>
    <row r="16" spans="1:23" ht="15" customHeight="1">
      <c r="A16" s="6">
        <v>9.6216144142090343</v>
      </c>
      <c r="B16" s="6">
        <v>3.7902703812451346</v>
      </c>
      <c r="C16" s="125">
        <v>3.9087827748667299</v>
      </c>
      <c r="D16" s="125">
        <v>1.3673466497569156</v>
      </c>
      <c r="E16" s="26"/>
      <c r="F16" s="26"/>
      <c r="G16" s="26"/>
      <c r="H16" s="26"/>
      <c r="I16" s="26"/>
      <c r="J16" s="26"/>
      <c r="K16" s="26"/>
      <c r="L16" s="26"/>
      <c r="M16" s="26"/>
      <c r="N16" s="26"/>
      <c r="O16" s="294">
        <v>11</v>
      </c>
      <c r="P16" s="643"/>
      <c r="Q16" s="644"/>
      <c r="R16" s="645"/>
      <c r="S16" s="646"/>
      <c r="T16" s="125">
        <v>1.6666666666181604</v>
      </c>
      <c r="U16" s="125">
        <v>2.3322875407885197</v>
      </c>
      <c r="V16" s="125">
        <v>6.3318448672755434E-2</v>
      </c>
      <c r="W16" s="125">
        <v>1.1356891427946839E-2</v>
      </c>
    </row>
    <row r="17" spans="1:23" ht="15" customHeight="1">
      <c r="A17" s="6">
        <v>9.7501260883291252</v>
      </c>
      <c r="B17" s="6">
        <v>3.9695198921904384</v>
      </c>
      <c r="C17" s="125">
        <v>4.093756388175696</v>
      </c>
      <c r="D17" s="125">
        <v>1.5931835522330977</v>
      </c>
      <c r="E17" s="26"/>
      <c r="F17" s="26"/>
      <c r="G17" s="26"/>
      <c r="H17" s="26"/>
      <c r="I17" s="26"/>
      <c r="J17" s="26"/>
      <c r="K17" s="26"/>
      <c r="L17" s="26"/>
      <c r="M17" s="26"/>
      <c r="N17" s="26"/>
      <c r="O17" s="294">
        <v>12</v>
      </c>
      <c r="P17" s="643"/>
      <c r="Q17" s="644"/>
      <c r="R17" s="645"/>
      <c r="S17" s="646"/>
      <c r="T17" s="125">
        <v>1.8333333332799764</v>
      </c>
      <c r="U17" s="125">
        <v>2.3431662849673827</v>
      </c>
      <c r="V17" s="125">
        <v>6.7293550363349885E-2</v>
      </c>
      <c r="W17" s="125">
        <v>1.2492574975225806E-2</v>
      </c>
    </row>
    <row r="18" spans="1:23" ht="15" customHeight="1">
      <c r="A18" s="6">
        <v>9.8448491291492246</v>
      </c>
      <c r="B18" s="6">
        <v>4.2963445528630579</v>
      </c>
      <c r="C18" s="125">
        <v>4.2476246848804697</v>
      </c>
      <c r="D18" s="125">
        <v>1.7123901295921333</v>
      </c>
      <c r="E18" s="26"/>
      <c r="F18" s="26"/>
      <c r="G18" s="26"/>
      <c r="H18" s="26"/>
      <c r="I18" s="26"/>
      <c r="J18" s="26"/>
      <c r="K18" s="26"/>
      <c r="L18" s="26"/>
      <c r="M18" s="26"/>
      <c r="N18" s="26"/>
      <c r="O18" s="294">
        <v>13</v>
      </c>
      <c r="P18" s="643"/>
      <c r="Q18" s="644"/>
      <c r="R18" s="645"/>
      <c r="S18" s="646"/>
      <c r="T18" s="125">
        <v>1.9999999999417923</v>
      </c>
      <c r="U18" s="125">
        <v>2.3547390614716459</v>
      </c>
      <c r="V18" s="125">
        <v>7.1647215138834958E-2</v>
      </c>
      <c r="W18" s="125">
        <v>1.3628258522463138E-2</v>
      </c>
    </row>
    <row r="19" spans="1:23" ht="15" customHeight="1">
      <c r="A19" s="6">
        <v>9.9183949307189323</v>
      </c>
      <c r="B19" s="6">
        <v>4.4234688315192683</v>
      </c>
      <c r="C19" s="125">
        <v>4.37437211645784</v>
      </c>
      <c r="D19" s="125">
        <v>1.7748851492560465</v>
      </c>
      <c r="E19" s="26"/>
      <c r="F19" s="26"/>
      <c r="G19" s="26"/>
      <c r="H19" s="26"/>
      <c r="I19" s="26"/>
      <c r="J19" s="26"/>
      <c r="K19" s="26"/>
      <c r="L19" s="26"/>
      <c r="M19" s="26"/>
      <c r="N19" s="26"/>
      <c r="O19" s="294">
        <v>14</v>
      </c>
      <c r="P19" s="643"/>
      <c r="Q19" s="644"/>
      <c r="R19" s="645"/>
      <c r="S19" s="646"/>
      <c r="T19" s="125">
        <v>2.1666666666036085</v>
      </c>
      <c r="U19" s="125">
        <v>2.3670689312539968</v>
      </c>
      <c r="V19" s="125">
        <v>7.63750338648196E-2</v>
      </c>
      <c r="W19" s="125">
        <v>1.4569841334252029E-2</v>
      </c>
    </row>
    <row r="20" spans="1:23" ht="15" customHeight="1" thickBot="1">
      <c r="A20" s="6">
        <v>9.9807470614905469</v>
      </c>
      <c r="B20" s="6">
        <v>4.3161688355486536</v>
      </c>
      <c r="C20" s="125">
        <v>4.485300612834406</v>
      </c>
      <c r="D20" s="125">
        <v>1.8114455126765505</v>
      </c>
      <c r="E20" s="26"/>
      <c r="F20" s="26"/>
      <c r="G20" s="26"/>
      <c r="H20" s="26"/>
      <c r="I20" s="26"/>
      <c r="J20" s="26"/>
      <c r="K20" s="26"/>
      <c r="L20" s="26"/>
      <c r="M20" s="26"/>
      <c r="N20" s="26"/>
      <c r="O20" s="647">
        <v>15</v>
      </c>
      <c r="P20" s="648"/>
      <c r="Q20" s="649"/>
      <c r="R20" s="650"/>
      <c r="S20" s="651"/>
      <c r="T20" s="125">
        <v>2.3333333332654247</v>
      </c>
      <c r="U20" s="125">
        <v>2.3801996475684373</v>
      </c>
      <c r="V20" s="125">
        <v>8.1181752189660866E-2</v>
      </c>
      <c r="W20" s="125">
        <v>1.4270760574085604E-2</v>
      </c>
    </row>
    <row r="21" spans="1:23" ht="15" customHeight="1" thickTop="1">
      <c r="A21" s="6">
        <v>10.040469448722433</v>
      </c>
      <c r="B21" s="6">
        <v>4.3549548393368696</v>
      </c>
      <c r="C21" s="125">
        <v>4.5935727403477191</v>
      </c>
      <c r="D21" s="125">
        <v>1.8176462791875643</v>
      </c>
      <c r="E21" s="26"/>
      <c r="F21" s="26"/>
      <c r="G21" s="26"/>
      <c r="H21" s="26"/>
      <c r="I21" s="26"/>
      <c r="J21" s="26"/>
      <c r="K21" s="26"/>
      <c r="L21" s="26"/>
      <c r="M21" s="26"/>
      <c r="N21" s="26"/>
      <c r="O21" s="296"/>
      <c r="P21" s="431"/>
      <c r="Q21" s="652" t="s">
        <v>816</v>
      </c>
      <c r="R21" s="653"/>
      <c r="S21" s="654"/>
      <c r="T21" s="125">
        <v>2.4999999999272404</v>
      </c>
      <c r="U21" s="125">
        <v>2.3941231836829133</v>
      </c>
      <c r="V21" s="125">
        <v>8.5888771766575181E-2</v>
      </c>
      <c r="W21" s="125">
        <v>1.3971647839496067E-2</v>
      </c>
    </row>
    <row r="22" spans="1:23" ht="15" customHeight="1">
      <c r="A22" s="6">
        <v>10.105798782024067</v>
      </c>
      <c r="B22" s="6">
        <v>4.8580520113807184</v>
      </c>
      <c r="C22" s="125">
        <v>4.7120782207504153</v>
      </c>
      <c r="D22" s="125">
        <v>1.7687521014919825</v>
      </c>
      <c r="E22" s="26"/>
      <c r="F22" s="26"/>
      <c r="G22" s="26"/>
      <c r="H22" s="26"/>
      <c r="I22" s="26"/>
      <c r="J22" s="26"/>
      <c r="K22" s="26"/>
      <c r="L22" s="26"/>
      <c r="M22" s="26"/>
      <c r="N22" s="26"/>
      <c r="O22" s="114"/>
      <c r="P22" s="655"/>
      <c r="Q22" s="656" t="s">
        <v>817</v>
      </c>
      <c r="R22" s="657"/>
      <c r="S22" s="658"/>
      <c r="T22" s="125">
        <v>2.6666666665890566</v>
      </c>
      <c r="U22" s="125">
        <v>2.4088229231402556</v>
      </c>
      <c r="V22" s="125">
        <v>9.0496092603556164E-2</v>
      </c>
      <c r="W22" s="125">
        <v>1.3672559085682229E-2</v>
      </c>
    </row>
    <row r="23" spans="1:23" ht="15" customHeight="1">
      <c r="A23" s="6">
        <v>10.185713412647601</v>
      </c>
      <c r="B23" s="6">
        <v>5.1357991946662338</v>
      </c>
      <c r="C23" s="125">
        <v>4.8517876304261467</v>
      </c>
      <c r="D23" s="125">
        <v>1.6437152120890819</v>
      </c>
      <c r="E23" s="26"/>
      <c r="F23" s="26"/>
      <c r="G23" s="26"/>
      <c r="H23" s="26"/>
      <c r="I23" s="26"/>
      <c r="J23" s="26"/>
      <c r="K23" s="26"/>
      <c r="L23" s="26"/>
      <c r="M23" s="26"/>
      <c r="N23" s="26"/>
      <c r="O23" s="386"/>
      <c r="P23" s="133"/>
      <c r="Q23" s="133"/>
      <c r="R23" s="133"/>
      <c r="S23" s="659"/>
      <c r="T23" s="125">
        <v>2.8333333332508728</v>
      </c>
      <c r="U23" s="125">
        <v>2.4242822494832952</v>
      </c>
      <c r="V23" s="125">
        <v>9.5003714697939279E-2</v>
      </c>
      <c r="W23" s="125">
        <v>1.337346233830425E-2</v>
      </c>
    </row>
    <row r="24" spans="1:23" ht="15" customHeight="1">
      <c r="A24" s="6">
        <v>10.291077989677433</v>
      </c>
      <c r="B24" s="6">
        <v>5.1329008521350588</v>
      </c>
      <c r="C24" s="125">
        <v>5.0194538449700117</v>
      </c>
      <c r="D24" s="125">
        <v>1.4393694924113245</v>
      </c>
      <c r="E24" s="26"/>
      <c r="F24" s="26"/>
      <c r="G24" s="26"/>
      <c r="H24" s="26"/>
      <c r="I24" s="26"/>
      <c r="J24" s="26"/>
      <c r="K24" s="26"/>
      <c r="L24" s="26"/>
      <c r="M24" s="26"/>
      <c r="N24" s="26"/>
      <c r="O24" s="660"/>
      <c r="P24" s="661"/>
      <c r="Q24" s="662" t="s">
        <v>1113</v>
      </c>
      <c r="R24" s="663">
        <v>20</v>
      </c>
      <c r="S24" s="664" t="s">
        <v>818</v>
      </c>
      <c r="T24" s="125">
        <v>2.9999999999126885</v>
      </c>
      <c r="U24" s="125">
        <v>2.4404845462548628</v>
      </c>
      <c r="V24" s="125">
        <v>9.9411638049724527E-2</v>
      </c>
      <c r="W24" s="125">
        <v>1.3074373584532046E-2</v>
      </c>
    </row>
    <row r="25" spans="1:23" ht="15" customHeight="1">
      <c r="A25" s="6">
        <v>10.435955300636124</v>
      </c>
      <c r="B25" s="6">
        <v>5.2423833602130161</v>
      </c>
      <c r="C25" s="125">
        <v>5.2146492768169725</v>
      </c>
      <c r="D25" s="125">
        <v>1.1641204134540271</v>
      </c>
      <c r="E25" s="26"/>
      <c r="F25" s="26"/>
      <c r="G25" s="26"/>
      <c r="H25" s="26"/>
      <c r="I25" s="26"/>
      <c r="J25" s="26"/>
      <c r="K25" s="26"/>
      <c r="L25" s="26"/>
      <c r="M25" s="26"/>
      <c r="N25" s="26"/>
      <c r="O25" s="660"/>
      <c r="P25" s="661"/>
      <c r="Q25" s="665" t="s">
        <v>819</v>
      </c>
      <c r="R25" s="666">
        <v>0.1</v>
      </c>
      <c r="S25" s="664" t="s">
        <v>820</v>
      </c>
      <c r="T25" s="125">
        <v>3.1666666665745047</v>
      </c>
      <c r="U25" s="125">
        <v>2.4574131969977904</v>
      </c>
      <c r="V25" s="125">
        <v>0.10371986265624737</v>
      </c>
      <c r="W25" s="125">
        <v>1.2775276837154065E-2</v>
      </c>
    </row>
    <row r="26" spans="1:23" ht="15" customHeight="1">
      <c r="A26" s="6">
        <v>10.639140704006422</v>
      </c>
      <c r="B26" s="6">
        <v>5.4344364742158016</v>
      </c>
      <c r="C26" s="125">
        <v>5.4251033055535851</v>
      </c>
      <c r="D26" s="125">
        <v>0.84111876904719718</v>
      </c>
      <c r="E26" s="26"/>
      <c r="F26" s="26"/>
      <c r="G26" s="26"/>
      <c r="H26" s="26"/>
      <c r="I26" s="26"/>
      <c r="J26" s="26"/>
      <c r="K26" s="26"/>
      <c r="L26" s="26"/>
      <c r="M26" s="26"/>
      <c r="N26" s="26"/>
      <c r="O26" s="667"/>
      <c r="P26" s="668"/>
      <c r="Q26" s="669" t="s">
        <v>821</v>
      </c>
      <c r="R26" s="670"/>
      <c r="S26" s="671" t="s">
        <v>822</v>
      </c>
      <c r="T26" s="125">
        <v>3.3333333332363209</v>
      </c>
      <c r="U26" s="125">
        <v>2.4750515852549082</v>
      </c>
      <c r="V26" s="125">
        <v>0.10792838852017235</v>
      </c>
      <c r="W26" s="125">
        <v>1.2476180089734451E-2</v>
      </c>
    </row>
    <row r="27" spans="1:23" ht="19.5" customHeight="1">
      <c r="A27" s="6">
        <v>10.925871347717475</v>
      </c>
      <c r="B27" s="6">
        <v>5.5859265023774283</v>
      </c>
      <c r="C27" s="125">
        <v>5.6263700185926995</v>
      </c>
      <c r="D27" s="125">
        <v>0.54062439586068511</v>
      </c>
      <c r="E27" s="26"/>
      <c r="F27" s="26"/>
      <c r="G27" s="26"/>
      <c r="H27" s="26"/>
      <c r="I27" s="26"/>
      <c r="J27" s="26"/>
      <c r="K27" s="26"/>
      <c r="L27" s="26"/>
      <c r="M27" s="26"/>
      <c r="N27" s="26"/>
      <c r="O27" s="682" t="s">
        <v>815</v>
      </c>
      <c r="P27" s="683" t="s">
        <v>659</v>
      </c>
      <c r="Q27" s="684" t="s">
        <v>823</v>
      </c>
      <c r="R27" s="685" t="s">
        <v>824</v>
      </c>
      <c r="S27" s="686" t="s">
        <v>660</v>
      </c>
      <c r="T27" s="125">
        <v>3.4999999998981366</v>
      </c>
      <c r="U27" s="125">
        <v>2.4933830945690478</v>
      </c>
      <c r="V27" s="125">
        <v>0.11203721564149946</v>
      </c>
      <c r="W27" s="125">
        <v>1.2177075348750692E-2</v>
      </c>
    </row>
    <row r="28" spans="1:23" ht="15" customHeight="1">
      <c r="A28" s="6">
        <v>11.32941198447952</v>
      </c>
      <c r="B28" s="6">
        <v>5.7817853807000468</v>
      </c>
      <c r="C28" s="125">
        <v>5.800969957723205</v>
      </c>
      <c r="D28" s="125">
        <v>0.32662601854994733</v>
      </c>
      <c r="E28" s="26"/>
      <c r="F28" s="26"/>
      <c r="G28" s="26"/>
      <c r="H28" s="26"/>
      <c r="I28" s="26"/>
      <c r="J28" s="26"/>
      <c r="K28" s="26"/>
      <c r="L28" s="26"/>
      <c r="M28" s="26"/>
      <c r="N28" s="26"/>
      <c r="O28" s="672">
        <v>1</v>
      </c>
      <c r="P28" s="673">
        <v>10.047833361532291</v>
      </c>
      <c r="Q28" s="674">
        <f>IF(P28&lt;&gt;"",P28*0.001*$R$25,"")</f>
        <v>1.0047833361532291E-3</v>
      </c>
      <c r="R28" s="674">
        <f>IF(P28&lt;&gt;"",Q28,"")</f>
        <v>1.0047833361532291E-3</v>
      </c>
      <c r="S28" s="675">
        <f>IF(P28&lt;&gt;"",R28/$R$24/0.001,"")</f>
        <v>5.023916680766146E-2</v>
      </c>
      <c r="T28" s="125">
        <v>3.6666666665599528</v>
      </c>
      <c r="U28" s="125">
        <v>2.5123911084830399</v>
      </c>
      <c r="V28" s="125">
        <v>0.1160463440202287</v>
      </c>
      <c r="W28" s="125">
        <v>1.1877986595020122E-2</v>
      </c>
    </row>
    <row r="29" spans="1:23" ht="15" customHeight="1">
      <c r="A29" s="6">
        <v>11.891695459780749</v>
      </c>
      <c r="B29" s="6">
        <v>5.9333775681693366</v>
      </c>
      <c r="C29" s="125">
        <v>5.9498505351300084</v>
      </c>
      <c r="D29" s="125">
        <v>0.21842310493949785</v>
      </c>
      <c r="E29" s="26"/>
      <c r="F29" s="26"/>
      <c r="G29" s="26"/>
      <c r="H29" s="26"/>
      <c r="I29" s="26"/>
      <c r="J29" s="26"/>
      <c r="K29" s="26"/>
      <c r="L29" s="26"/>
      <c r="M29" s="26"/>
      <c r="N29" s="26"/>
      <c r="O29" s="294">
        <v>2</v>
      </c>
      <c r="P29" s="676">
        <v>30.01250000066441</v>
      </c>
      <c r="Q29" s="677">
        <f t="shared" ref="Q29:Q37" si="0">IF(P29&lt;&gt;"",P29*0.001*$R$25,"")</f>
        <v>3.0012500000664412E-3</v>
      </c>
      <c r="R29" s="677">
        <f>IF(P29&lt;&gt;"",(Q29-Q28),"")</f>
        <v>1.9964666639132123E-3</v>
      </c>
      <c r="S29" s="678">
        <f t="shared" ref="S29:S37" si="1">IF(P29&lt;&gt;"",R29/$R$24/0.001,"")</f>
        <v>9.9823333195660613E-2</v>
      </c>
      <c r="T29" s="125">
        <v>3.8333333332217689</v>
      </c>
      <c r="U29" s="125">
        <v>2.5320590105397156</v>
      </c>
      <c r="V29" s="125">
        <v>0.11995577365636007</v>
      </c>
      <c r="W29" s="125">
        <v>1.1578889847600507E-2</v>
      </c>
    </row>
    <row r="30" spans="1:23" ht="15" customHeight="1">
      <c r="A30" s="6">
        <v>12.661303962522652</v>
      </c>
      <c r="B30" s="6">
        <v>6.1015246164126706</v>
      </c>
      <c r="C30" s="125">
        <v>6.0975497546929853</v>
      </c>
      <c r="D30" s="125">
        <v>0.15961767587332287</v>
      </c>
      <c r="E30" s="26"/>
      <c r="F30" s="26"/>
      <c r="G30" s="26"/>
      <c r="H30" s="26"/>
      <c r="I30" s="26"/>
      <c r="J30" s="26"/>
      <c r="K30" s="26"/>
      <c r="L30" s="26"/>
      <c r="M30" s="26"/>
      <c r="N30" s="26"/>
      <c r="O30" s="294">
        <v>3</v>
      </c>
      <c r="P30" s="676"/>
      <c r="Q30" s="677" t="str">
        <f t="shared" si="0"/>
        <v/>
      </c>
      <c r="R30" s="677" t="str">
        <f t="shared" ref="R30:R37" si="2">IF(P30&lt;&gt;"",(Q30-Q29),"")</f>
        <v/>
      </c>
      <c r="S30" s="678" t="str">
        <f t="shared" si="1"/>
        <v/>
      </c>
      <c r="T30" s="125">
        <v>3.9999999998835847</v>
      </c>
      <c r="U30" s="125">
        <v>2.552370184281906</v>
      </c>
      <c r="V30" s="125">
        <v>0.12376550454722904</v>
      </c>
      <c r="W30" s="125">
        <v>1.1279793100222526E-2</v>
      </c>
    </row>
    <row r="31" spans="1:23" ht="15" customHeight="1">
      <c r="A31" s="6">
        <v>13.68609245546395</v>
      </c>
      <c r="B31" s="6">
        <v>6.2343706579746305</v>
      </c>
      <c r="C31" s="125">
        <v>6.2373585060206231</v>
      </c>
      <c r="D31" s="125">
        <v>0.12940471512893156</v>
      </c>
      <c r="E31" s="26"/>
      <c r="F31" s="26"/>
      <c r="G31" s="26"/>
      <c r="H31" s="26"/>
      <c r="I31" s="26"/>
      <c r="J31" s="26"/>
      <c r="K31" s="26"/>
      <c r="L31" s="26"/>
      <c r="M31" s="26"/>
      <c r="N31" s="26"/>
      <c r="O31" s="294">
        <v>4</v>
      </c>
      <c r="P31" s="676"/>
      <c r="Q31" s="677" t="str">
        <f t="shared" si="0"/>
        <v/>
      </c>
      <c r="R31" s="677" t="str">
        <f t="shared" si="2"/>
        <v/>
      </c>
      <c r="S31" s="678" t="str">
        <f t="shared" si="1"/>
        <v/>
      </c>
      <c r="T31" s="125">
        <v>4.1666666665454013</v>
      </c>
      <c r="U31" s="125">
        <v>2.5732575608785768</v>
      </c>
      <c r="V31" s="125">
        <v>0.12653836520839193</v>
      </c>
      <c r="W31" s="125">
        <v>5.1898725320476662E-3</v>
      </c>
    </row>
    <row r="32" spans="1:23" ht="15" customHeight="1">
      <c r="A32" s="6">
        <v>14.998016964818817</v>
      </c>
      <c r="B32" s="6">
        <v>6.4237087256565042</v>
      </c>
      <c r="C32" s="125">
        <v>6.4272567565249483</v>
      </c>
      <c r="D32" s="125">
        <v>0.16415814249331287</v>
      </c>
      <c r="E32" s="26"/>
      <c r="F32" s="26"/>
      <c r="G32" s="26"/>
      <c r="H32" s="26"/>
      <c r="I32" s="26"/>
      <c r="J32" s="26"/>
      <c r="K32" s="26"/>
      <c r="L32" s="26"/>
      <c r="M32" s="26"/>
      <c r="N32" s="26"/>
      <c r="O32" s="294">
        <v>5</v>
      </c>
      <c r="P32" s="676"/>
      <c r="Q32" s="677" t="str">
        <f t="shared" si="0"/>
        <v/>
      </c>
      <c r="R32" s="677" t="str">
        <f t="shared" si="2"/>
        <v/>
      </c>
      <c r="S32" s="678" t="str">
        <f t="shared" si="1"/>
        <v/>
      </c>
      <c r="T32" s="125">
        <v>4.333333333207217</v>
      </c>
      <c r="U32" s="125">
        <v>2.594433262584293</v>
      </c>
      <c r="V32" s="125">
        <v>0.12722246958689071</v>
      </c>
      <c r="W32" s="125">
        <v>-1.0789928950630634E-3</v>
      </c>
    </row>
    <row r="33" spans="1:23" ht="15" customHeight="1">
      <c r="A33" s="6">
        <v>16.591740037256386</v>
      </c>
      <c r="B33" s="6">
        <v>6.6692782825219714</v>
      </c>
      <c r="C33" s="125">
        <v>6.6623664324466985</v>
      </c>
      <c r="D33" s="125">
        <v>8.6695023720403011E-2</v>
      </c>
      <c r="E33" s="26"/>
      <c r="F33" s="26"/>
      <c r="G33" s="26"/>
      <c r="H33" s="26"/>
      <c r="I33" s="26"/>
      <c r="J33" s="26"/>
      <c r="K33" s="26"/>
      <c r="L33" s="26"/>
      <c r="M33" s="26"/>
      <c r="N33" s="26"/>
      <c r="O33" s="294">
        <v>6</v>
      </c>
      <c r="P33" s="676"/>
      <c r="Q33" s="677" t="str">
        <f t="shared" si="0"/>
        <v/>
      </c>
      <c r="R33" s="677" t="str">
        <f t="shared" si="2"/>
        <v/>
      </c>
      <c r="S33" s="678" t="str">
        <f t="shared" si="1"/>
        <v/>
      </c>
      <c r="T33" s="125">
        <v>4.4999999998690328</v>
      </c>
      <c r="U33" s="125">
        <v>2.6155490207556742</v>
      </c>
      <c r="V33" s="125">
        <v>0.12581695317426056</v>
      </c>
      <c r="W33" s="125">
        <v>-7.3478583222570601E-3</v>
      </c>
    </row>
    <row r="34" spans="1:23" ht="15" customHeight="1">
      <c r="A34" s="6">
        <v>18.406854815839324</v>
      </c>
      <c r="B34" s="6">
        <v>6.7265948707517058</v>
      </c>
      <c r="C34" s="125">
        <v>6.7317303456254196</v>
      </c>
      <c r="D34" s="125">
        <v>5.0545501636701823E-2</v>
      </c>
      <c r="E34" s="26"/>
      <c r="F34" s="26"/>
      <c r="G34" s="26"/>
      <c r="H34" s="26"/>
      <c r="I34" s="26"/>
      <c r="J34" s="26"/>
      <c r="K34" s="26"/>
      <c r="L34" s="26"/>
      <c r="M34" s="26"/>
      <c r="N34" s="26"/>
      <c r="O34" s="294">
        <v>7</v>
      </c>
      <c r="P34" s="676"/>
      <c r="Q34" s="677" t="str">
        <f t="shared" si="0"/>
        <v/>
      </c>
      <c r="R34" s="677" t="str">
        <f t="shared" si="2"/>
        <v/>
      </c>
      <c r="S34" s="678" t="str">
        <f t="shared" si="1"/>
        <v/>
      </c>
      <c r="T34" s="125">
        <v>4.6666666665308494</v>
      </c>
      <c r="U34" s="125">
        <v>2.6362565652605445</v>
      </c>
      <c r="V34" s="125">
        <v>0.12232181596783695</v>
      </c>
      <c r="W34" s="125">
        <v>-1.3616715755762013E-2</v>
      </c>
    </row>
    <row r="35" spans="1:23" ht="15" customHeight="1">
      <c r="A35" s="6">
        <v>20.328983447689097</v>
      </c>
      <c r="B35" s="6">
        <v>6.919625802232388</v>
      </c>
      <c r="C35" s="125">
        <v>6.9194937491760591</v>
      </c>
      <c r="D35" s="125">
        <v>0.11920556329351063</v>
      </c>
      <c r="E35" s="26"/>
      <c r="F35" s="26"/>
      <c r="G35" s="26"/>
      <c r="H35" s="26"/>
      <c r="I35" s="26"/>
      <c r="J35" s="26"/>
      <c r="K35" s="26"/>
      <c r="L35" s="26"/>
      <c r="M35" s="26"/>
      <c r="N35" s="26"/>
      <c r="O35" s="294">
        <v>8</v>
      </c>
      <c r="P35" s="676"/>
      <c r="Q35" s="677" t="str">
        <f t="shared" si="0"/>
        <v/>
      </c>
      <c r="R35" s="677" t="str">
        <f t="shared" si="2"/>
        <v/>
      </c>
      <c r="S35" s="678" t="str">
        <f t="shared" si="1"/>
        <v/>
      </c>
      <c r="T35" s="125">
        <v>4.8333333331926651</v>
      </c>
      <c r="U35" s="125">
        <v>2.6562076259667284</v>
      </c>
      <c r="V35" s="125">
        <v>0.11673705796761988</v>
      </c>
      <c r="W35" s="125">
        <v>-1.9885581182872744E-2</v>
      </c>
    </row>
    <row r="36" spans="1:23" ht="15" customHeight="1">
      <c r="A36" s="6">
        <v>22.216620297695044</v>
      </c>
      <c r="B36" s="6">
        <v>7.0953256149307116</v>
      </c>
      <c r="C36" s="125">
        <v>7.0887918691417378</v>
      </c>
      <c r="D36" s="125">
        <v>3.3962321941161451E-2</v>
      </c>
      <c r="E36" s="26"/>
      <c r="F36" s="26"/>
      <c r="G36" s="26"/>
      <c r="H36" s="26"/>
      <c r="I36" s="26"/>
      <c r="J36" s="26"/>
      <c r="K36" s="26"/>
      <c r="L36" s="26"/>
      <c r="M36" s="26"/>
      <c r="N36" s="26"/>
      <c r="O36" s="294">
        <v>9</v>
      </c>
      <c r="P36" s="676"/>
      <c r="Q36" s="677" t="str">
        <f t="shared" si="0"/>
        <v/>
      </c>
      <c r="R36" s="677" t="str">
        <f t="shared" si="2"/>
        <v/>
      </c>
      <c r="S36" s="678" t="str">
        <f t="shared" si="1"/>
        <v/>
      </c>
      <c r="T36" s="125">
        <v>4.9999999998544808</v>
      </c>
      <c r="U36" s="125">
        <v>2.6750539327420495</v>
      </c>
      <c r="V36" s="125">
        <v>0.10906267917627388</v>
      </c>
      <c r="W36" s="125">
        <v>-2.6154438616377694E-2</v>
      </c>
    </row>
    <row r="37" spans="1:23" ht="15" customHeight="1" thickBot="1">
      <c r="A37" s="6">
        <v>23.941385601938237</v>
      </c>
      <c r="B37" s="6">
        <v>7.1512500737592566</v>
      </c>
      <c r="C37" s="125">
        <v>7.1647414420374025</v>
      </c>
      <c r="D37" s="125">
        <v>0.13597817354442276</v>
      </c>
      <c r="E37" s="26"/>
      <c r="F37" s="26"/>
      <c r="G37" s="26"/>
      <c r="H37" s="26"/>
      <c r="I37" s="26"/>
      <c r="J37" s="26"/>
      <c r="K37" s="26"/>
      <c r="L37" s="26"/>
      <c r="M37" s="26"/>
      <c r="N37" s="26"/>
      <c r="O37" s="647">
        <v>10</v>
      </c>
      <c r="P37" s="679"/>
      <c r="Q37" s="680" t="str">
        <f t="shared" si="0"/>
        <v/>
      </c>
      <c r="R37" s="680" t="str">
        <f t="shared" si="2"/>
        <v/>
      </c>
      <c r="S37" s="681" t="str">
        <f t="shared" si="1"/>
        <v/>
      </c>
      <c r="T37" s="125">
        <v>5.1666666665162975</v>
      </c>
      <c r="U37" s="125">
        <v>2.6924472154543322</v>
      </c>
      <c r="V37" s="125">
        <v>9.9298679593798955E-2</v>
      </c>
      <c r="W37" s="125">
        <v>-3.2423288056276874E-2</v>
      </c>
    </row>
    <row r="38" spans="1:23" ht="15" customHeight="1" thickTop="1">
      <c r="A38" s="6">
        <v>25.419121760933194</v>
      </c>
      <c r="B38" s="6">
        <v>7.4514787286653243</v>
      </c>
      <c r="C38" s="125">
        <v>7.4329580755025031</v>
      </c>
      <c r="D38" s="125">
        <v>0.13503380799628742</v>
      </c>
      <c r="E38" s="26"/>
      <c r="F38" s="26"/>
      <c r="G38" s="26"/>
      <c r="H38" s="26"/>
      <c r="I38" s="26"/>
      <c r="J38" s="26"/>
      <c r="K38" s="26"/>
      <c r="L38" s="26"/>
      <c r="M38" s="26"/>
      <c r="N38" s="26"/>
      <c r="O38" s="353" t="s">
        <v>661</v>
      </c>
      <c r="P38" s="353"/>
      <c r="Q38" s="353"/>
      <c r="R38" s="353"/>
      <c r="S38" s="353"/>
      <c r="T38" s="125">
        <v>5.3333333331781132</v>
      </c>
      <c r="U38" s="125">
        <v>2.708039203971401</v>
      </c>
      <c r="V38" s="125">
        <v>8.7445059212201484E-2</v>
      </c>
      <c r="W38" s="125">
        <v>-3.8692161477035011E-2</v>
      </c>
    </row>
    <row r="39" spans="1:23" ht="15" customHeight="1">
      <c r="A39" s="6">
        <v>26.618562547082547</v>
      </c>
      <c r="B39" s="6">
        <v>7.5401593301441734</v>
      </c>
      <c r="C39" s="125">
        <v>7.5596299835371328</v>
      </c>
      <c r="D39" s="125">
        <v>0.15172498308877611</v>
      </c>
      <c r="E39" s="26"/>
      <c r="F39" s="26"/>
      <c r="G39" s="26"/>
      <c r="H39" s="26"/>
      <c r="I39" s="26"/>
      <c r="J39" s="26"/>
      <c r="K39" s="26"/>
      <c r="L39" s="26"/>
      <c r="M39" s="26"/>
      <c r="N39" s="26"/>
      <c r="O39" s="688" t="s">
        <v>825</v>
      </c>
      <c r="P39" s="353"/>
      <c r="Q39" s="353"/>
      <c r="R39" s="353"/>
      <c r="S39" s="353"/>
      <c r="T39" s="125">
        <v>5.4999999998399289</v>
      </c>
      <c r="U39" s="125">
        <v>2.7214816281610794</v>
      </c>
      <c r="V39" s="125">
        <v>7.3501818042139622E-2</v>
      </c>
      <c r="W39" s="125">
        <v>-4.4961018910539961E-2</v>
      </c>
    </row>
    <row r="40" spans="1:23" ht="15" customHeight="1">
      <c r="A40" s="6">
        <v>27.550935077306349</v>
      </c>
      <c r="B40" s="6">
        <v>7.7563774949247826</v>
      </c>
      <c r="C40" s="125">
        <v>7.7429813680716082</v>
      </c>
      <c r="D40" s="125">
        <v>0.20368142504405484</v>
      </c>
      <c r="E40" s="26"/>
      <c r="F40" s="26"/>
      <c r="G40" s="26"/>
      <c r="H40" s="26"/>
      <c r="I40" s="26"/>
      <c r="J40" s="26"/>
      <c r="K40" s="26"/>
      <c r="L40" s="26"/>
      <c r="M40" s="26"/>
      <c r="N40" s="26"/>
      <c r="O40" s="688" t="s">
        <v>1131</v>
      </c>
      <c r="P40" s="353"/>
      <c r="Q40" s="353"/>
      <c r="R40" s="353"/>
      <c r="S40" s="353"/>
      <c r="T40" s="125">
        <v>5.6666666665017456</v>
      </c>
      <c r="U40" s="125">
        <v>2.732545491629895</v>
      </c>
      <c r="V40" s="125">
        <v>6.0245811080305356E-2</v>
      </c>
      <c r="W40" s="125">
        <v>-2.9735821806616828E-2</v>
      </c>
    </row>
    <row r="41" spans="1:23" ht="15" customHeight="1">
      <c r="A41" s="6">
        <v>28.252110099128913</v>
      </c>
      <c r="B41" s="6">
        <v>7.9134510497316528</v>
      </c>
      <c r="C41" s="125">
        <v>7.8772984836701303</v>
      </c>
      <c r="D41" s="125">
        <v>0.18924152373658837</v>
      </c>
      <c r="E41" s="26"/>
      <c r="F41" s="26"/>
      <c r="G41" s="26"/>
      <c r="H41" s="26"/>
      <c r="I41" s="26"/>
      <c r="J41" s="26"/>
      <c r="K41" s="26"/>
      <c r="L41" s="26"/>
      <c r="M41" s="26"/>
      <c r="N41" s="26"/>
      <c r="O41" s="688" t="s">
        <v>949</v>
      </c>
      <c r="P41" s="353"/>
      <c r="Q41" s="353"/>
      <c r="R41" s="353"/>
      <c r="S41" s="353"/>
      <c r="T41" s="125">
        <v>5.8333333331635613</v>
      </c>
      <c r="U41" s="125">
        <v>2.7419603268952932</v>
      </c>
      <c r="V41" s="125">
        <v>5.3920100447483715E-2</v>
      </c>
      <c r="W41" s="125">
        <v>-8.2399447270298295E-3</v>
      </c>
    </row>
    <row r="42" spans="1:23" ht="15" customHeight="1">
      <c r="A42" s="6">
        <v>28.76675075822277</v>
      </c>
      <c r="B42" s="6">
        <v>7.9963996764286227</v>
      </c>
      <c r="C42" s="125">
        <v>8.0049076159001462</v>
      </c>
      <c r="D42" s="125">
        <v>0.37901352359584767</v>
      </c>
      <c r="E42" s="26"/>
      <c r="F42" s="26"/>
      <c r="G42" s="26"/>
      <c r="H42" s="26"/>
      <c r="I42" s="26"/>
      <c r="J42" s="26"/>
      <c r="K42" s="26"/>
      <c r="L42" s="26"/>
      <c r="M42" s="26"/>
      <c r="N42" s="26"/>
      <c r="O42" s="26"/>
      <c r="P42" s="26"/>
      <c r="Q42" s="26"/>
      <c r="R42" s="26"/>
      <c r="S42" s="26"/>
      <c r="T42" s="125">
        <v>5.999999999825377</v>
      </c>
      <c r="U42" s="125">
        <v>2.7509173875702602</v>
      </c>
      <c r="V42" s="125">
        <v>5.4759681287026005E-2</v>
      </c>
      <c r="W42" s="125">
        <v>1.325592435897221E-2</v>
      </c>
    </row>
    <row r="43" spans="1:23" ht="15" customHeight="1">
      <c r="A43" s="6">
        <v>29.138159849389922</v>
      </c>
      <c r="B43" s="6">
        <v>8.2263819666307043</v>
      </c>
      <c r="C43" s="125">
        <v>8.1929929077639194</v>
      </c>
      <c r="D43" s="125">
        <v>0.69928697951592</v>
      </c>
      <c r="E43" s="26"/>
      <c r="F43" s="26"/>
      <c r="G43" s="26"/>
      <c r="H43" s="26"/>
      <c r="I43" s="26"/>
      <c r="J43" s="26"/>
      <c r="K43" s="26"/>
      <c r="L43" s="26"/>
      <c r="M43" s="26"/>
      <c r="N43" s="26"/>
      <c r="O43" s="26"/>
      <c r="P43" s="353" t="s">
        <v>2</v>
      </c>
      <c r="Q43" s="353"/>
      <c r="R43" s="353"/>
      <c r="S43" s="26"/>
      <c r="T43" s="125">
        <v>6.1666666664871936</v>
      </c>
      <c r="U43" s="125">
        <v>2.7606108889005831</v>
      </c>
      <c r="V43" s="125">
        <v>6.2764553601596745E-2</v>
      </c>
      <c r="W43" s="125">
        <v>3.4751793444932615E-2</v>
      </c>
    </row>
    <row r="44" spans="1:23" ht="15" customHeight="1">
      <c r="A44" s="6">
        <v>29.403460801404435</v>
      </c>
      <c r="B44" s="6">
        <v>8.4238610949150825</v>
      </c>
      <c r="C44" s="125">
        <v>8.4135759117230755</v>
      </c>
      <c r="D44" s="125">
        <v>1.0529584187757943</v>
      </c>
      <c r="E44" s="26"/>
      <c r="F44" s="26"/>
      <c r="G44" s="26"/>
      <c r="H44" s="26"/>
      <c r="I44" s="26"/>
      <c r="J44" s="26"/>
      <c r="K44" s="26"/>
      <c r="L44" s="26"/>
      <c r="M44" s="26"/>
      <c r="N44" s="26"/>
      <c r="O44" s="26"/>
      <c r="P44" s="353" t="s">
        <v>4</v>
      </c>
      <c r="Q44" s="353"/>
      <c r="R44" s="353"/>
      <c r="S44" s="26"/>
      <c r="T44" s="125">
        <v>6.3333333331490094</v>
      </c>
      <c r="U44" s="125">
        <v>2.7722350461320491</v>
      </c>
      <c r="V44" s="125">
        <v>7.7934717393860486E-2</v>
      </c>
      <c r="W44" s="125">
        <v>5.6247686511731169E-2</v>
      </c>
    </row>
    <row r="45" spans="1:23" ht="15" customHeight="1">
      <c r="A45" s="6">
        <v>29.592312754539307</v>
      </c>
      <c r="B45" s="6">
        <v>8.4704538960139431</v>
      </c>
      <c r="C45" s="125">
        <v>8.6351335225611656</v>
      </c>
      <c r="D45" s="125">
        <v>1.3952687871227101</v>
      </c>
      <c r="E45" s="26"/>
      <c r="F45" s="26"/>
      <c r="G45" s="26"/>
      <c r="H45" s="26"/>
      <c r="I45" s="26"/>
      <c r="J45" s="26"/>
      <c r="K45" s="26"/>
      <c r="L45" s="26"/>
      <c r="M45" s="26"/>
      <c r="N45" s="26"/>
      <c r="O45" s="26"/>
      <c r="P45" s="353" t="s">
        <v>3</v>
      </c>
      <c r="Q45" s="353"/>
      <c r="R45" s="353"/>
      <c r="S45" s="26"/>
      <c r="T45" s="125">
        <v>6.4999999998108251</v>
      </c>
      <c r="U45" s="125">
        <v>2.7869840745104462</v>
      </c>
      <c r="V45" s="125">
        <v>0.10027017265848816</v>
      </c>
      <c r="W45" s="125">
        <v>7.7743555597712385E-2</v>
      </c>
    </row>
    <row r="46" spans="1:23">
      <c r="A46" s="6">
        <v>29.727469007775653</v>
      </c>
      <c r="B46" s="6">
        <v>8.8064331886117166</v>
      </c>
      <c r="C46" s="125">
        <v>8.8341611651758605</v>
      </c>
      <c r="D46" s="125">
        <v>1.6289122911840936</v>
      </c>
      <c r="E46" s="26"/>
      <c r="F46" s="26"/>
      <c r="G46" s="26"/>
      <c r="H46" s="26"/>
      <c r="I46" s="26"/>
      <c r="J46" s="26"/>
      <c r="K46" s="26"/>
      <c r="L46" s="26"/>
      <c r="M46" s="26"/>
      <c r="N46" s="26"/>
      <c r="O46" s="26"/>
      <c r="P46" s="26"/>
      <c r="Q46" s="26"/>
      <c r="R46" s="26"/>
      <c r="S46" s="26"/>
      <c r="T46" s="125">
        <v>6.6666666664726417</v>
      </c>
      <c r="U46" s="125">
        <v>2.8060521892815613</v>
      </c>
      <c r="V46" s="125">
        <v>0.12977091939814428</v>
      </c>
      <c r="W46" s="125">
        <v>9.9239424683735242E-2</v>
      </c>
    </row>
    <row r="47" spans="1:23">
      <c r="A47" s="6">
        <v>29.826065547240432</v>
      </c>
      <c r="B47" s="6">
        <v>9.0470594645874822</v>
      </c>
      <c r="C47" s="125">
        <v>8.9982103608112141</v>
      </c>
      <c r="D47" s="125">
        <v>1.7625324468647061</v>
      </c>
      <c r="E47" s="26"/>
      <c r="F47" s="26"/>
      <c r="G47" s="26"/>
      <c r="H47" s="26"/>
      <c r="I47" s="26"/>
      <c r="J47" s="26"/>
      <c r="K47" s="26"/>
      <c r="L47" s="26"/>
      <c r="M47" s="26"/>
      <c r="N47" s="26"/>
      <c r="O47" s="26"/>
      <c r="P47" s="26"/>
      <c r="Q47" s="26"/>
      <c r="R47" s="26"/>
      <c r="S47" s="26"/>
      <c r="T47" s="125">
        <v>6.8333333331344575</v>
      </c>
      <c r="U47" s="125">
        <v>2.8305753583805182</v>
      </c>
      <c r="V47" s="125">
        <v>0.16444787681136983</v>
      </c>
      <c r="W47" s="125">
        <v>9.8179232749377676E-2</v>
      </c>
    </row>
    <row r="48" spans="1:23">
      <c r="A48" s="6">
        <v>29.901051959313918</v>
      </c>
      <c r="B48" s="6">
        <v>8.9214273543590199</v>
      </c>
      <c r="C48" s="125">
        <v>9.1314771179734837</v>
      </c>
      <c r="D48" s="125">
        <v>1.8447043942775987</v>
      </c>
      <c r="E48" s="26"/>
      <c r="F48" s="26"/>
      <c r="G48" s="26"/>
      <c r="H48" s="152"/>
      <c r="I48" s="152"/>
      <c r="J48" s="152"/>
      <c r="K48" s="26"/>
      <c r="L48" s="26"/>
      <c r="M48" s="26"/>
      <c r="N48" s="26"/>
      <c r="O48" s="26"/>
      <c r="P48" s="26"/>
      <c r="Q48" s="26"/>
      <c r="R48" s="26"/>
      <c r="S48" s="26"/>
      <c r="T48" s="125">
        <v>6.9999999997962732</v>
      </c>
      <c r="U48" s="125">
        <v>2.8605113701517841</v>
      </c>
      <c r="V48" s="125">
        <v>0.19363480334919192</v>
      </c>
      <c r="W48" s="125">
        <v>7.6963547539546429E-2</v>
      </c>
    </row>
    <row r="49" spans="1:23">
      <c r="A49" s="6">
        <v>29.962520969274919</v>
      </c>
      <c r="B49" s="6">
        <v>9.1409056011009717</v>
      </c>
      <c r="C49" s="125">
        <v>9.2451473863973401</v>
      </c>
      <c r="D49" s="125">
        <v>1.8821441842181079</v>
      </c>
      <c r="E49" s="26"/>
      <c r="F49" s="26"/>
      <c r="G49" s="26"/>
      <c r="H49" s="26"/>
      <c r="I49" s="26"/>
      <c r="J49" s="26"/>
      <c r="K49" s="26"/>
      <c r="L49" s="26"/>
      <c r="M49" s="26"/>
      <c r="N49" s="26"/>
      <c r="O49" s="26"/>
      <c r="P49" s="26"/>
      <c r="Q49" s="26"/>
      <c r="R49" s="26"/>
      <c r="S49" s="26"/>
      <c r="T49" s="125">
        <v>7.1666666664580898</v>
      </c>
      <c r="U49" s="125">
        <v>2.8947231343978994</v>
      </c>
      <c r="V49" s="125">
        <v>0.21574983461475986</v>
      </c>
      <c r="W49" s="125">
        <v>5.5747854336026123E-2</v>
      </c>
    </row>
    <row r="50" spans="1:23">
      <c r="A50" s="6">
        <v>30.018881628348026</v>
      </c>
      <c r="B50" s="6">
        <v>9.3198510455583126</v>
      </c>
      <c r="C50" s="125">
        <v>9.3512561440971069</v>
      </c>
      <c r="D50" s="125">
        <v>1.8794345720166077</v>
      </c>
      <c r="E50" s="26"/>
      <c r="F50" s="26"/>
      <c r="G50" s="26"/>
      <c r="H50" s="26"/>
      <c r="I50" s="26"/>
      <c r="J50" s="26"/>
      <c r="K50" s="26"/>
      <c r="L50" s="26"/>
      <c r="M50" s="26"/>
      <c r="N50" s="26"/>
      <c r="O50" s="26"/>
      <c r="P50" s="26"/>
      <c r="Q50" s="26"/>
      <c r="R50" s="26"/>
      <c r="S50" s="26"/>
      <c r="T50" s="125">
        <v>7.3333333331199055</v>
      </c>
      <c r="U50" s="125">
        <v>2.9320320019069879</v>
      </c>
      <c r="V50" s="125">
        <v>0.23079297060807366</v>
      </c>
      <c r="W50" s="125">
        <v>3.4532161132589098E-2</v>
      </c>
    </row>
    <row r="51" spans="1:23">
      <c r="A51" s="6">
        <v>30.077913562126923</v>
      </c>
      <c r="B51" s="6">
        <v>9.6426810772611162</v>
      </c>
      <c r="C51" s="125">
        <v>9.4620591570341315</v>
      </c>
      <c r="D51" s="125">
        <v>1.8363361494087844</v>
      </c>
      <c r="E51" s="26"/>
      <c r="F51" s="26"/>
      <c r="G51" s="26"/>
      <c r="H51" s="26"/>
      <c r="I51" s="26"/>
      <c r="J51" s="26"/>
      <c r="K51" s="26"/>
      <c r="L51" s="26"/>
      <c r="M51" s="26"/>
      <c r="N51" s="26"/>
      <c r="O51" s="26"/>
      <c r="P51" s="26"/>
      <c r="Q51" s="26"/>
      <c r="R51" s="26"/>
      <c r="S51" s="26"/>
      <c r="T51" s="125">
        <v>7.4999999997817213</v>
      </c>
      <c r="U51" s="125">
        <v>2.9712593234671738</v>
      </c>
      <c r="V51" s="125">
        <v>0.23876421133179784</v>
      </c>
      <c r="W51" s="125">
        <v>1.3316475922674577E-2</v>
      </c>
    </row>
    <row r="52" spans="1:23">
      <c r="A52" s="6">
        <v>30.147781588311773</v>
      </c>
      <c r="B52" s="6">
        <v>9.6630212543003005</v>
      </c>
      <c r="C52" s="125">
        <v>9.5895887346914996</v>
      </c>
      <c r="D52" s="125">
        <v>1.7496322992318376</v>
      </c>
      <c r="E52" s="26"/>
      <c r="F52" s="26"/>
      <c r="G52" s="26"/>
      <c r="H52" s="26"/>
      <c r="I52" s="26"/>
      <c r="J52" s="26"/>
      <c r="K52" s="26"/>
      <c r="L52" s="26"/>
      <c r="M52" s="26"/>
      <c r="N52" s="26"/>
      <c r="O52" s="26"/>
      <c r="P52" s="26"/>
      <c r="Q52" s="26"/>
      <c r="R52" s="26"/>
      <c r="S52" s="26"/>
      <c r="T52" s="125">
        <v>7.6666666664435379</v>
      </c>
      <c r="U52" s="125">
        <v>3.0112264510722939</v>
      </c>
      <c r="V52" s="125">
        <v>0.23966491348468583</v>
      </c>
      <c r="W52" s="125">
        <v>-7.4464194814107846E-3</v>
      </c>
    </row>
    <row r="53" spans="1:23">
      <c r="A53" s="6">
        <v>30.23810956365196</v>
      </c>
      <c r="B53" s="6">
        <v>9.8054199161609681</v>
      </c>
      <c r="C53" s="125">
        <v>9.7447987845771884</v>
      </c>
      <c r="D53" s="125">
        <v>1.5996873874840556</v>
      </c>
      <c r="E53" s="26"/>
      <c r="F53" s="26"/>
      <c r="G53" s="26"/>
      <c r="H53" s="26"/>
      <c r="I53" s="26"/>
      <c r="J53" s="26"/>
      <c r="K53" s="26"/>
      <c r="L53" s="26"/>
      <c r="M53" s="26"/>
      <c r="N53" s="26"/>
      <c r="O53" s="26"/>
      <c r="P53" s="26"/>
      <c r="Q53" s="26"/>
      <c r="R53" s="26"/>
      <c r="S53" s="26"/>
      <c r="T53" s="125">
        <v>7.8333333331053536</v>
      </c>
      <c r="U53" s="125">
        <v>3.0510147381141026</v>
      </c>
      <c r="V53" s="125">
        <v>0.2380976011647124</v>
      </c>
      <c r="W53" s="125">
        <v>-1.9629418092375695E-3</v>
      </c>
    </row>
    <row r="54" spans="1:23">
      <c r="A54" s="6">
        <v>30.361222689680289</v>
      </c>
      <c r="B54" s="6">
        <v>10.1009536653353</v>
      </c>
      <c r="C54" s="125">
        <v>9.9329995171793826</v>
      </c>
      <c r="D54" s="125">
        <v>1.3519190895006081</v>
      </c>
      <c r="E54" s="26"/>
      <c r="F54" s="26"/>
      <c r="G54" s="26"/>
      <c r="H54" s="26"/>
      <c r="I54" s="26"/>
      <c r="J54" s="26"/>
      <c r="K54" s="26"/>
      <c r="L54" s="26"/>
      <c r="M54" s="26"/>
      <c r="N54" s="26"/>
      <c r="O54" s="26"/>
      <c r="P54" s="26"/>
      <c r="Q54" s="26"/>
      <c r="R54" s="26"/>
      <c r="S54" s="26"/>
      <c r="T54" s="125">
        <v>7.9999999997671694</v>
      </c>
      <c r="U54" s="125">
        <v>3.090693972992467</v>
      </c>
      <c r="V54" s="125">
        <v>0.23835811535094331</v>
      </c>
      <c r="W54" s="125">
        <v>3.5205438567079569E-3</v>
      </c>
    </row>
    <row r="55" spans="1:23">
      <c r="A55" s="6">
        <v>30.533670484146569</v>
      </c>
      <c r="B55" s="6">
        <v>10.113295776244147</v>
      </c>
      <c r="C55" s="125">
        <v>10.145182769679167</v>
      </c>
      <c r="D55" s="125">
        <v>1.0227742749426432</v>
      </c>
      <c r="E55" s="26"/>
      <c r="F55" s="26"/>
      <c r="G55" s="26"/>
      <c r="H55" s="26"/>
      <c r="I55" s="26"/>
      <c r="J55" s="26"/>
      <c r="K55" s="26"/>
      <c r="L55" s="26"/>
      <c r="M55" s="26"/>
      <c r="N55" s="26"/>
      <c r="O55" s="26"/>
      <c r="P55" s="26"/>
      <c r="Q55" s="26"/>
      <c r="R55" s="26"/>
      <c r="S55" s="26"/>
      <c r="T55" s="125">
        <v>8.166666666428986</v>
      </c>
      <c r="U55" s="125">
        <v>3.1305687934582704</v>
      </c>
      <c r="V55" s="125">
        <v>0.2404464560380494</v>
      </c>
      <c r="W55" s="125">
        <v>9.0040135352753951E-3</v>
      </c>
    </row>
    <row r="56" spans="1:23">
      <c r="A56" s="6">
        <v>30.778127179655712</v>
      </c>
      <c r="B56" s="6">
        <v>10.440725985515027</v>
      </c>
      <c r="C56" s="125">
        <v>10.355608730750546</v>
      </c>
      <c r="D56" s="125">
        <v>0.63017830603041758</v>
      </c>
      <c r="E56" s="26"/>
      <c r="F56" s="26"/>
      <c r="G56" s="26"/>
      <c r="H56" s="26"/>
      <c r="I56" s="26"/>
      <c r="J56" s="26"/>
      <c r="K56" s="26"/>
      <c r="L56" s="26"/>
      <c r="M56" s="26"/>
      <c r="N56" s="26"/>
      <c r="O56" s="26"/>
      <c r="P56" s="26"/>
      <c r="Q56" s="26"/>
      <c r="R56" s="26"/>
      <c r="S56" s="26"/>
      <c r="T56" s="125">
        <v>8.3333333330908026</v>
      </c>
      <c r="U56" s="125">
        <v>3.1709438372623948</v>
      </c>
      <c r="V56" s="125">
        <v>0.24436262323668889</v>
      </c>
      <c r="W56" s="125">
        <v>1.4487499201137654E-2</v>
      </c>
    </row>
    <row r="57" spans="1:23">
      <c r="A57" s="6">
        <v>31.125704392616171</v>
      </c>
      <c r="B57" s="6">
        <v>10.394143875602518</v>
      </c>
      <c r="C57" s="125">
        <v>10.522684143376656</v>
      </c>
      <c r="D57" s="125">
        <v>0.36544525834054203</v>
      </c>
      <c r="E57" s="26"/>
      <c r="F57" s="26"/>
      <c r="G57" s="26"/>
      <c r="H57" s="26"/>
      <c r="I57" s="26"/>
      <c r="J57" s="26"/>
      <c r="K57" s="26"/>
      <c r="L57" s="26"/>
      <c r="M57" s="26"/>
      <c r="N57" s="26"/>
      <c r="O57" s="26"/>
      <c r="P57" s="26"/>
      <c r="Q57" s="26"/>
      <c r="R57" s="26"/>
      <c r="S57" s="26"/>
      <c r="T57" s="125">
        <v>8.4999999997526174</v>
      </c>
      <c r="U57" s="125">
        <v>3.2127537529016355</v>
      </c>
      <c r="V57" s="125">
        <v>0.26222237110182117</v>
      </c>
      <c r="W57" s="125">
        <v>9.7471542842681058E-2</v>
      </c>
    </row>
    <row r="58" spans="1:23">
      <c r="A58" s="6">
        <v>31.618546727986541</v>
      </c>
      <c r="B58" s="6">
        <v>10.693185093665297</v>
      </c>
      <c r="C58" s="125">
        <v>10.677008150373402</v>
      </c>
      <c r="D58" s="125">
        <v>0.24039960659663734</v>
      </c>
      <c r="E58" s="26"/>
      <c r="F58" s="26"/>
      <c r="G58" s="26"/>
      <c r="H58" s="26"/>
      <c r="I58" s="26"/>
      <c r="J58" s="26"/>
      <c r="K58" s="26"/>
      <c r="L58" s="26"/>
      <c r="M58" s="26"/>
      <c r="N58" s="26"/>
      <c r="O58" s="26"/>
      <c r="P58" s="26"/>
      <c r="Q58" s="26"/>
      <c r="R58" s="26"/>
      <c r="S58" s="26"/>
      <c r="T58" s="125">
        <v>8.6666666664144341</v>
      </c>
      <c r="U58" s="125">
        <v>3.2599789458197872</v>
      </c>
      <c r="V58" s="125">
        <v>0.30942692318371035</v>
      </c>
      <c r="W58" s="125">
        <v>0.18566756932976952</v>
      </c>
    </row>
    <row r="59" spans="1:23">
      <c r="A59" s="6">
        <v>32.312233893026132</v>
      </c>
      <c r="B59" s="6">
        <v>10.788842607386293</v>
      </c>
      <c r="C59" s="125">
        <v>10.793753306373763</v>
      </c>
      <c r="D59" s="125">
        <v>0.11054590295780142</v>
      </c>
      <c r="E59" s="26"/>
      <c r="F59" s="26"/>
      <c r="G59" s="26"/>
      <c r="H59" s="26"/>
      <c r="I59" s="26"/>
      <c r="J59" s="26"/>
      <c r="K59" s="26"/>
      <c r="L59" s="26"/>
      <c r="M59" s="26"/>
      <c r="N59" s="26"/>
      <c r="O59" s="26"/>
      <c r="P59" s="26"/>
      <c r="Q59" s="26"/>
      <c r="R59" s="26"/>
      <c r="S59" s="26"/>
      <c r="T59" s="125">
        <v>8.8333333330762507</v>
      </c>
      <c r="U59" s="125">
        <v>3.3175190039951286</v>
      </c>
      <c r="V59" s="125">
        <v>0.38603015286811038</v>
      </c>
      <c r="W59" s="125">
        <v>0.2738636038106303</v>
      </c>
    </row>
    <row r="60" spans="1:23">
      <c r="A60" s="6">
        <v>33.276938258495647</v>
      </c>
      <c r="B60" s="6">
        <v>10.877864857281752</v>
      </c>
      <c r="C60" s="125">
        <v>10.882167042175245</v>
      </c>
      <c r="D60" s="125">
        <v>9.4697723297037462E-2</v>
      </c>
      <c r="E60" s="26"/>
      <c r="F60" s="26"/>
      <c r="G60" s="26"/>
      <c r="H60" s="26"/>
      <c r="I60" s="26"/>
      <c r="J60" s="26"/>
      <c r="K60" s="26"/>
      <c r="L60" s="26"/>
      <c r="M60" s="26"/>
      <c r="N60" s="26"/>
      <c r="O60" s="26"/>
      <c r="P60" s="26"/>
      <c r="Q60" s="26"/>
      <c r="R60" s="26"/>
      <c r="S60" s="26"/>
      <c r="T60" s="125">
        <v>8.9999999997380655</v>
      </c>
      <c r="U60" s="125">
        <v>3.3903460184422864</v>
      </c>
      <c r="V60" s="125">
        <v>0.4933681237508184</v>
      </c>
      <c r="W60" s="125">
        <v>0.37027138957086025</v>
      </c>
    </row>
    <row r="61" spans="1:23">
      <c r="A61" s="6">
        <v>34.595723087841179</v>
      </c>
      <c r="B61" s="6">
        <v>11.051299680096768</v>
      </c>
      <c r="C61" s="125">
        <v>11.055811290940555</v>
      </c>
      <c r="D61" s="125">
        <v>0.17623468778773954</v>
      </c>
      <c r="E61" s="26"/>
      <c r="F61" s="26"/>
      <c r="G61" s="26"/>
      <c r="H61" s="26"/>
      <c r="I61" s="26"/>
      <c r="J61" s="26"/>
      <c r="K61" s="26"/>
      <c r="L61" s="26"/>
      <c r="M61" s="26"/>
      <c r="N61" s="26"/>
      <c r="O61" s="26"/>
      <c r="P61" s="26"/>
      <c r="Q61" s="26"/>
      <c r="R61" s="26"/>
      <c r="S61" s="26"/>
      <c r="T61" s="125">
        <v>9.1666666663998821</v>
      </c>
      <c r="U61" s="125">
        <v>3.4837436667765198</v>
      </c>
      <c r="V61" s="125">
        <v>0.63291077901771609</v>
      </c>
      <c r="W61" s="125">
        <v>0.46688793633957631</v>
      </c>
    </row>
    <row r="62" spans="1:23">
      <c r="A62" s="6">
        <v>36.358880750776734</v>
      </c>
      <c r="B62" s="6">
        <v>11.370292142789795</v>
      </c>
      <c r="C62" s="125">
        <v>11.363296617184082</v>
      </c>
      <c r="D62" s="125">
        <v>0.10729439203867115</v>
      </c>
      <c r="E62" s="26"/>
      <c r="F62" s="26"/>
      <c r="G62" s="26"/>
      <c r="H62" s="26"/>
      <c r="I62" s="26"/>
      <c r="J62" s="26"/>
      <c r="K62" s="26"/>
      <c r="L62" s="26"/>
      <c r="M62" s="26"/>
      <c r="N62" s="26"/>
      <c r="O62" s="26"/>
      <c r="P62" s="26"/>
      <c r="Q62" s="26"/>
      <c r="R62" s="26"/>
      <c r="S62" s="26"/>
      <c r="T62" s="125">
        <v>9.3333333330616988</v>
      </c>
      <c r="U62" s="125">
        <v>3.6039347389667129</v>
      </c>
      <c r="V62" s="125">
        <v>0.82271991488532481</v>
      </c>
      <c r="W62" s="125">
        <v>0.69034921783128422</v>
      </c>
    </row>
    <row r="63" spans="1:23">
      <c r="A63" s="6">
        <v>38.657043337298092</v>
      </c>
      <c r="B63" s="6">
        <v>11.419295233251525</v>
      </c>
      <c r="C63" s="125">
        <v>11.423452697093367</v>
      </c>
      <c r="D63" s="125">
        <v>2.3984114612561593E-2</v>
      </c>
      <c r="E63" s="26"/>
      <c r="F63" s="26"/>
      <c r="G63" s="26"/>
      <c r="H63" s="26"/>
      <c r="I63" s="26"/>
      <c r="J63" s="26"/>
      <c r="K63" s="26"/>
      <c r="L63" s="26"/>
      <c r="M63" s="26"/>
      <c r="N63" s="26"/>
      <c r="O63" s="26"/>
      <c r="P63" s="26"/>
      <c r="Q63" s="26"/>
      <c r="R63" s="26"/>
      <c r="S63" s="26"/>
      <c r="T63" s="125">
        <v>9.4999999997235136</v>
      </c>
      <c r="U63" s="125">
        <v>3.7624362958580515</v>
      </c>
      <c r="V63" s="125">
        <v>1.0913088884059261</v>
      </c>
      <c r="W63" s="125">
        <v>0.89306457434413911</v>
      </c>
    </row>
    <row r="64" spans="1:23">
      <c r="A64" s="6">
        <v>41.584617293847259</v>
      </c>
      <c r="B64" s="6">
        <v>11.628946382172252</v>
      </c>
      <c r="C64" s="125">
        <v>11.627354277970312</v>
      </c>
      <c r="D64" s="125">
        <v>6.5317783107073119E-2</v>
      </c>
      <c r="E64" s="26"/>
      <c r="F64" s="26"/>
      <c r="G64" s="26"/>
      <c r="H64" s="26"/>
      <c r="I64" s="26"/>
      <c r="J64" s="26"/>
      <c r="K64" s="26"/>
      <c r="L64" s="26"/>
      <c r="M64" s="26"/>
      <c r="N64" s="26"/>
      <c r="O64" s="26"/>
      <c r="P64" s="26"/>
      <c r="Q64" s="26"/>
      <c r="R64" s="26"/>
      <c r="S64" s="26"/>
      <c r="T64" s="125">
        <v>9.6666666663853302</v>
      </c>
      <c r="U64" s="125">
        <v>3.9701736511568306</v>
      </c>
      <c r="V64" s="125">
        <v>1.405575552038181</v>
      </c>
      <c r="W64" s="125">
        <v>0.93282872631778413</v>
      </c>
    </row>
    <row r="65" spans="1:23">
      <c r="A65" s="6">
        <v>45.275601847970393</v>
      </c>
      <c r="B65" s="6">
        <v>11.730370279959102</v>
      </c>
      <c r="C65" s="125">
        <v>11.730885070584325</v>
      </c>
      <c r="D65" s="125">
        <v>2.0239006856164813E-2</v>
      </c>
      <c r="E65" s="26"/>
      <c r="F65" s="26"/>
      <c r="G65" s="26"/>
      <c r="H65" s="26"/>
      <c r="I65" s="26"/>
      <c r="J65" s="26"/>
      <c r="K65" s="26"/>
      <c r="L65" s="26"/>
      <c r="M65" s="26"/>
      <c r="N65" s="26"/>
      <c r="O65" s="26"/>
      <c r="P65" s="26"/>
      <c r="Q65" s="26"/>
      <c r="R65" s="26"/>
      <c r="S65" s="26"/>
      <c r="T65" s="125">
        <v>9.8333333330471469</v>
      </c>
      <c r="U65" s="125">
        <v>4.2282812400545851</v>
      </c>
      <c r="V65" s="125">
        <v>1.6731273266693101</v>
      </c>
      <c r="W65" s="125">
        <v>0.59354294282960496</v>
      </c>
    </row>
    <row r="66" spans="1:23">
      <c r="A66" s="6">
        <v>49.999999998544808</v>
      </c>
      <c r="B66" s="6">
        <v>11.913765583538456</v>
      </c>
      <c r="C66" s="125">
        <v>11.913683305983376</v>
      </c>
      <c r="D66" s="125">
        <v>4.8066328369968971E-2</v>
      </c>
      <c r="E66" s="26"/>
      <c r="F66" s="26"/>
      <c r="G66" s="26"/>
      <c r="H66" s="26"/>
      <c r="I66" s="26"/>
      <c r="J66" s="26"/>
      <c r="K66" s="26"/>
      <c r="L66" s="26"/>
      <c r="M66" s="26"/>
      <c r="N66" s="26"/>
      <c r="O66" s="26"/>
      <c r="P66" s="26"/>
      <c r="Q66" s="26"/>
      <c r="R66" s="26"/>
      <c r="S66" s="26"/>
      <c r="T66" s="125">
        <v>9.9999999997089617</v>
      </c>
      <c r="U66" s="125">
        <v>4.5200536754230942</v>
      </c>
      <c r="V66" s="125">
        <v>1.8099075978839589</v>
      </c>
      <c r="W66" s="125">
        <v>0.22271555800905488</v>
      </c>
    </row>
    <row r="67" spans="1:23">
      <c r="A67" s="6"/>
      <c r="B67" s="6"/>
      <c r="C67" s="125"/>
      <c r="D67" s="125"/>
      <c r="E67" s="26"/>
      <c r="F67" s="26"/>
      <c r="G67" s="26"/>
      <c r="H67" s="26"/>
      <c r="I67" s="26"/>
      <c r="J67" s="26"/>
      <c r="K67" s="26"/>
      <c r="L67" s="26"/>
      <c r="M67" s="26"/>
      <c r="N67" s="26"/>
      <c r="O67" s="26"/>
      <c r="P67" s="26"/>
      <c r="Q67" s="26"/>
      <c r="R67" s="26"/>
      <c r="S67" s="26"/>
      <c r="T67" s="125">
        <v>10.166666666370778</v>
      </c>
      <c r="U67" s="125">
        <v>4.8193077796195789</v>
      </c>
      <c r="V67" s="125">
        <v>1.7207090287477769</v>
      </c>
      <c r="W67" s="125">
        <v>-0.78250398165659352</v>
      </c>
    </row>
    <row r="68" spans="1:23">
      <c r="A68" s="6"/>
      <c r="B68" s="6"/>
      <c r="C68" s="125"/>
      <c r="D68" s="125"/>
      <c r="E68" s="26"/>
      <c r="F68" s="26"/>
      <c r="G68" s="26"/>
      <c r="H68" s="26"/>
      <c r="I68" s="26"/>
      <c r="J68" s="26"/>
      <c r="K68" s="26"/>
      <c r="L68" s="26"/>
      <c r="M68" s="26"/>
      <c r="N68" s="26"/>
      <c r="O68" s="26"/>
      <c r="P68" s="26"/>
      <c r="Q68" s="26"/>
      <c r="R68" s="26"/>
      <c r="S68" s="26"/>
      <c r="T68" s="125">
        <v>10.333333333032595</v>
      </c>
      <c r="U68" s="125">
        <v>5.0805989896209773</v>
      </c>
      <c r="V68" s="125">
        <v>1.4049640901383833</v>
      </c>
      <c r="W68" s="125">
        <v>-0.98358313499645067</v>
      </c>
    </row>
    <row r="69" spans="1:23">
      <c r="A69" s="6"/>
      <c r="B69" s="6"/>
      <c r="C69" s="125"/>
      <c r="D69" s="125"/>
      <c r="E69" s="26"/>
      <c r="F69" s="26"/>
      <c r="G69" s="26"/>
      <c r="H69" s="26"/>
      <c r="I69" s="26"/>
      <c r="J69" s="26"/>
      <c r="K69" s="26"/>
      <c r="L69" s="26"/>
      <c r="M69" s="26"/>
      <c r="N69" s="26"/>
      <c r="O69" s="26"/>
      <c r="P69" s="26"/>
      <c r="Q69" s="26"/>
      <c r="R69" s="26"/>
      <c r="S69" s="26"/>
      <c r="T69" s="125">
        <v>10.49999999969441</v>
      </c>
      <c r="U69" s="125">
        <v>5.2884091464244163</v>
      </c>
      <c r="V69" s="125">
        <v>1.0951869747247818</v>
      </c>
      <c r="W69" s="125">
        <v>-0.85845505109450193</v>
      </c>
    </row>
    <row r="70" spans="1:23">
      <c r="A70" s="6"/>
      <c r="B70" s="6"/>
      <c r="C70" s="125"/>
      <c r="D70" s="125"/>
      <c r="E70" s="26"/>
      <c r="F70" s="26"/>
      <c r="G70" s="26"/>
      <c r="H70" s="26"/>
      <c r="I70" s="26"/>
      <c r="J70" s="26"/>
      <c r="K70" s="26"/>
      <c r="L70" s="26"/>
      <c r="M70" s="26"/>
      <c r="N70" s="26"/>
      <c r="O70" s="26"/>
      <c r="P70" s="26"/>
      <c r="Q70" s="26"/>
      <c r="R70" s="26"/>
      <c r="S70" s="26"/>
      <c r="T70" s="125">
        <v>10.666666666356226</v>
      </c>
      <c r="U70" s="125">
        <v>5.4486813642849947</v>
      </c>
      <c r="V70" s="125">
        <v>0.83729180375463508</v>
      </c>
      <c r="W70" s="125">
        <v>-0.68580395766290925</v>
      </c>
    </row>
    <row r="71" spans="1:23">
      <c r="A71" s="6"/>
      <c r="B71" s="6"/>
      <c r="C71" s="125"/>
      <c r="D71" s="125"/>
      <c r="E71" s="26"/>
      <c r="F71" s="26"/>
      <c r="G71" s="26"/>
      <c r="H71" s="26"/>
      <c r="I71" s="26"/>
      <c r="J71" s="26"/>
      <c r="K71" s="26"/>
      <c r="L71" s="26"/>
      <c r="M71" s="26"/>
      <c r="N71" s="26"/>
      <c r="O71" s="26"/>
      <c r="P71" s="26"/>
      <c r="Q71" s="26"/>
      <c r="R71" s="26"/>
      <c r="S71" s="26"/>
      <c r="T71" s="125">
        <v>10.833333333018043</v>
      </c>
      <c r="U71" s="125">
        <v>5.5709817104671666</v>
      </c>
      <c r="V71" s="125">
        <v>0.64081250218439401</v>
      </c>
      <c r="W71" s="125">
        <v>-0.49326438936306899</v>
      </c>
    </row>
    <row r="72" spans="1:23">
      <c r="A72" s="6"/>
      <c r="B72" s="6"/>
      <c r="C72" s="125"/>
      <c r="D72" s="125"/>
      <c r="E72" s="26"/>
      <c r="F72" s="26"/>
      <c r="G72" s="26"/>
      <c r="H72" s="26"/>
      <c r="I72" s="26"/>
      <c r="J72" s="26"/>
      <c r="K72" s="26"/>
      <c r="L72" s="26"/>
      <c r="M72" s="26"/>
      <c r="N72" s="26"/>
      <c r="O72" s="26"/>
      <c r="P72" s="26"/>
      <c r="Q72" s="26"/>
      <c r="R72" s="26"/>
      <c r="S72" s="26"/>
      <c r="T72" s="125">
        <v>10.999999999679858</v>
      </c>
      <c r="U72" s="125">
        <v>5.6657943774104655</v>
      </c>
      <c r="V72" s="125">
        <v>0.50510178926237537</v>
      </c>
      <c r="W72" s="125">
        <v>-0.34663966099533694</v>
      </c>
    </row>
    <row r="73" spans="1:23">
      <c r="A73" s="6"/>
      <c r="B73" s="6"/>
      <c r="C73" s="125"/>
      <c r="D73" s="125"/>
      <c r="E73" s="26"/>
      <c r="F73" s="26"/>
      <c r="G73" s="26"/>
      <c r="H73" s="26"/>
      <c r="I73" s="26"/>
      <c r="J73" s="26"/>
      <c r="K73" s="26"/>
      <c r="L73" s="26"/>
      <c r="M73" s="26"/>
      <c r="N73" s="26"/>
      <c r="O73" s="26"/>
      <c r="P73" s="26"/>
      <c r="Q73" s="26"/>
      <c r="R73" s="26"/>
      <c r="S73" s="26"/>
      <c r="T73" s="125">
        <v>11.166666666341674</v>
      </c>
      <c r="U73" s="125">
        <v>5.741185676682619</v>
      </c>
      <c r="V73" s="125">
        <v>0.40445466534433649</v>
      </c>
      <c r="W73" s="125">
        <v>-0.25733239540747888</v>
      </c>
    </row>
    <row r="74" spans="1:23">
      <c r="A74" s="6"/>
      <c r="B74" s="6"/>
      <c r="C74" s="125"/>
      <c r="D74" s="125"/>
      <c r="E74" s="26"/>
      <c r="F74" s="26"/>
      <c r="G74" s="26"/>
      <c r="H74" s="26"/>
      <c r="I74" s="26"/>
      <c r="J74" s="26"/>
      <c r="K74" s="26"/>
      <c r="L74" s="26"/>
      <c r="M74" s="26"/>
      <c r="N74" s="26"/>
      <c r="O74" s="26"/>
      <c r="P74" s="26"/>
      <c r="Q74" s="26"/>
      <c r="R74" s="26"/>
      <c r="S74" s="26"/>
      <c r="T74" s="125">
        <v>11.333333333003491</v>
      </c>
      <c r="U74" s="125">
        <v>5.8022807263411966</v>
      </c>
      <c r="V74" s="125">
        <v>0.33357192116139561</v>
      </c>
      <c r="W74" s="125">
        <v>-0.16917726420754825</v>
      </c>
    </row>
    <row r="75" spans="1:23">
      <c r="A75" s="6"/>
      <c r="B75" s="6"/>
      <c r="C75" s="125"/>
      <c r="D75" s="125"/>
      <c r="E75" s="26"/>
      <c r="F75" s="26"/>
      <c r="G75" s="26"/>
      <c r="H75" s="26"/>
      <c r="I75" s="26"/>
      <c r="J75" s="26"/>
      <c r="K75" s="26"/>
      <c r="L75" s="26"/>
      <c r="M75" s="26"/>
      <c r="N75" s="26"/>
      <c r="O75" s="26"/>
      <c r="P75" s="26"/>
      <c r="Q75" s="26"/>
      <c r="R75" s="26"/>
      <c r="S75" s="26"/>
      <c r="T75" s="125">
        <v>11.499999999665306</v>
      </c>
      <c r="U75" s="125">
        <v>5.8535548825638033</v>
      </c>
      <c r="V75" s="125">
        <v>0.28390931925708351</v>
      </c>
      <c r="W75" s="125">
        <v>-0.12883869971633535</v>
      </c>
    </row>
    <row r="76" spans="1:23">
      <c r="A76" s="6"/>
      <c r="B76" s="6"/>
      <c r="C76" s="125"/>
      <c r="D76" s="125"/>
      <c r="E76" s="26"/>
      <c r="F76" s="26"/>
      <c r="G76" s="26"/>
      <c r="H76" s="26"/>
      <c r="I76" s="26"/>
      <c r="J76" s="26"/>
      <c r="K76" s="26"/>
      <c r="L76" s="26"/>
      <c r="M76" s="26"/>
      <c r="N76" s="26"/>
      <c r="O76" s="26"/>
      <c r="P76" s="26"/>
      <c r="Q76" s="26"/>
      <c r="R76" s="26"/>
      <c r="S76" s="26"/>
      <c r="T76" s="125">
        <v>11.666666666327123</v>
      </c>
      <c r="U76" s="125">
        <v>5.8976713332400861</v>
      </c>
      <c r="V76" s="125">
        <v>0.24769290078917938</v>
      </c>
      <c r="W76" s="125">
        <v>-8.8500135225372215E-2</v>
      </c>
    </row>
    <row r="77" spans="1:23">
      <c r="A77" s="6"/>
      <c r="B77" s="6"/>
      <c r="C77" s="125"/>
      <c r="D77" s="125"/>
      <c r="E77" s="26"/>
      <c r="F77" s="26"/>
      <c r="G77" s="26"/>
      <c r="H77" s="26"/>
      <c r="I77" s="26"/>
      <c r="J77" s="26"/>
      <c r="K77" s="26"/>
      <c r="L77" s="26"/>
      <c r="M77" s="26"/>
      <c r="N77" s="26"/>
      <c r="O77" s="26"/>
      <c r="P77" s="26"/>
      <c r="Q77" s="26"/>
      <c r="R77" s="26"/>
      <c r="S77" s="26"/>
      <c r="T77" s="125">
        <v>11.833333332988939</v>
      </c>
      <c r="U77" s="125">
        <v>5.9368711089435244</v>
      </c>
      <c r="V77" s="125">
        <v>0.22492266576301234</v>
      </c>
      <c r="W77" s="125">
        <v>-4.8161602708665679E-2</v>
      </c>
    </row>
    <row r="78" spans="1:23">
      <c r="A78" s="6"/>
      <c r="B78" s="6"/>
      <c r="C78" s="125"/>
      <c r="D78" s="125"/>
      <c r="E78" s="26"/>
      <c r="F78" s="26"/>
      <c r="G78" s="26"/>
      <c r="H78" s="26"/>
      <c r="I78" s="26"/>
      <c r="J78" s="26"/>
      <c r="K78" s="26"/>
      <c r="L78" s="26"/>
      <c r="M78" s="26"/>
      <c r="N78" s="26"/>
      <c r="O78" s="26"/>
      <c r="P78" s="26"/>
      <c r="Q78" s="26"/>
      <c r="R78" s="26"/>
      <c r="S78" s="26"/>
      <c r="T78" s="125">
        <v>11.999999999650754</v>
      </c>
      <c r="U78" s="125">
        <v>5.9732884065172458</v>
      </c>
      <c r="V78" s="125">
        <v>0.21263479886798783</v>
      </c>
      <c r="W78" s="125">
        <v>-3.5146525691833012E-2</v>
      </c>
    </row>
    <row r="79" spans="1:23">
      <c r="A79" s="6"/>
      <c r="B79" s="6"/>
      <c r="C79" s="125"/>
      <c r="D79" s="125"/>
      <c r="E79" s="26"/>
      <c r="F79" s="26"/>
      <c r="G79" s="26"/>
      <c r="H79" s="26"/>
      <c r="I79" s="26"/>
      <c r="J79" s="26"/>
      <c r="K79" s="26"/>
      <c r="L79" s="26"/>
      <c r="M79" s="26"/>
      <c r="N79" s="26"/>
      <c r="O79" s="26"/>
      <c r="P79" s="26"/>
      <c r="Q79" s="26"/>
      <c r="R79" s="26"/>
      <c r="S79" s="26"/>
      <c r="T79" s="125">
        <v>12.166666666312571</v>
      </c>
      <c r="U79" s="125">
        <v>6.0077364009292982</v>
      </c>
      <c r="V79" s="125">
        <v>0.20063420144518171</v>
      </c>
      <c r="W79" s="125">
        <v>-3.6855318798979672E-2</v>
      </c>
    </row>
    <row r="80" spans="1:23">
      <c r="A80" s="6"/>
      <c r="B80" s="6"/>
      <c r="C80" s="125"/>
      <c r="D80" s="125"/>
      <c r="E80" s="26"/>
      <c r="F80" s="26"/>
      <c r="G80" s="26"/>
      <c r="H80" s="26"/>
      <c r="I80" s="26"/>
      <c r="J80" s="26"/>
      <c r="K80" s="26"/>
      <c r="L80" s="26"/>
      <c r="M80" s="26"/>
      <c r="N80" s="26"/>
      <c r="O80" s="26"/>
      <c r="P80" s="26"/>
      <c r="Q80" s="26"/>
      <c r="R80" s="26"/>
      <c r="S80" s="26"/>
      <c r="T80" s="125">
        <v>12.333333332974387</v>
      </c>
      <c r="U80" s="125">
        <v>6.0401368771641604</v>
      </c>
      <c r="V80" s="125">
        <v>0.18806401114282997</v>
      </c>
      <c r="W80" s="125">
        <v>-3.8564111906043065E-2</v>
      </c>
    </row>
    <row r="81" spans="1:23">
      <c r="A81" s="6"/>
      <c r="B81" s="6"/>
      <c r="C81" s="125"/>
      <c r="D81" s="125"/>
      <c r="E81" s="26"/>
      <c r="F81" s="26"/>
      <c r="G81" s="26"/>
      <c r="H81" s="26"/>
      <c r="I81" s="26"/>
      <c r="J81" s="26"/>
      <c r="K81" s="26"/>
      <c r="L81" s="26"/>
      <c r="M81" s="26"/>
      <c r="N81" s="26"/>
      <c r="O81" s="26"/>
      <c r="P81" s="26"/>
      <c r="Q81" s="26"/>
      <c r="R81" s="26"/>
      <c r="S81" s="26"/>
      <c r="T81" s="125">
        <v>12.499999999636202</v>
      </c>
      <c r="U81" s="125">
        <v>6.0703949030756261</v>
      </c>
      <c r="V81" s="125">
        <v>0.17492422796626164</v>
      </c>
      <c r="W81" s="125">
        <v>-4.0272905013189725E-2</v>
      </c>
    </row>
    <row r="82" spans="1:23">
      <c r="A82" s="6"/>
      <c r="B82" s="6"/>
      <c r="C82" s="125"/>
      <c r="D82" s="125"/>
      <c r="E82" s="26"/>
      <c r="F82" s="26"/>
      <c r="G82" s="26"/>
      <c r="H82" s="26"/>
      <c r="I82" s="26"/>
      <c r="J82" s="26"/>
      <c r="K82" s="26"/>
      <c r="L82" s="26"/>
      <c r="M82" s="26"/>
      <c r="N82" s="26"/>
      <c r="O82" s="26"/>
      <c r="P82" s="26"/>
      <c r="Q82" s="26"/>
      <c r="R82" s="26"/>
      <c r="S82" s="26"/>
      <c r="T82" s="125">
        <v>12.666666666298019</v>
      </c>
      <c r="U82" s="125">
        <v>6.098415549646953</v>
      </c>
      <c r="V82" s="125">
        <v>0.16121665757509859</v>
      </c>
      <c r="W82" s="125">
        <v>-4.1655191298747243E-2</v>
      </c>
    </row>
    <row r="83" spans="1:23">
      <c r="A83" s="6"/>
      <c r="B83" s="6"/>
      <c r="C83" s="125"/>
      <c r="D83" s="125"/>
      <c r="E83" s="26"/>
      <c r="F83" s="26"/>
      <c r="G83" s="26"/>
      <c r="H83" s="26"/>
      <c r="I83" s="26"/>
      <c r="J83" s="26"/>
      <c r="K83" s="26"/>
      <c r="L83" s="26"/>
      <c r="M83" s="26"/>
      <c r="N83" s="26"/>
      <c r="O83" s="26"/>
      <c r="P83" s="26"/>
      <c r="Q83" s="26"/>
      <c r="R83" s="26"/>
      <c r="S83" s="26"/>
      <c r="T83" s="125">
        <v>12.833333332959835</v>
      </c>
      <c r="U83" s="125">
        <v>6.1242071815480026</v>
      </c>
      <c r="V83" s="125">
        <v>0.14873917370727863</v>
      </c>
      <c r="W83" s="125">
        <v>-3.3218132246765938E-2</v>
      </c>
    </row>
    <row r="84" spans="1:23">
      <c r="A84" s="6"/>
      <c r="B84" s="6"/>
      <c r="C84" s="125"/>
      <c r="D84" s="125"/>
      <c r="E84" s="26"/>
      <c r="F84" s="26"/>
      <c r="G84" s="26"/>
      <c r="H84" s="26"/>
      <c r="I84" s="26"/>
      <c r="J84" s="26"/>
      <c r="K84" s="26"/>
      <c r="L84" s="26"/>
      <c r="M84" s="26"/>
      <c r="N84" s="26"/>
      <c r="O84" s="26"/>
      <c r="P84" s="26"/>
      <c r="Q84" s="26"/>
      <c r="R84" s="26"/>
      <c r="S84" s="26"/>
      <c r="T84" s="125">
        <v>12.99999999962165</v>
      </c>
      <c r="U84" s="125">
        <v>6.148153361647676</v>
      </c>
      <c r="V84" s="125">
        <v>0.13907404830831385</v>
      </c>
      <c r="W84" s="125">
        <v>-2.4781073194951174E-2</v>
      </c>
    </row>
    <row r="85" spans="1:23">
      <c r="A85" s="6"/>
      <c r="B85" s="6"/>
      <c r="C85" s="125"/>
      <c r="D85" s="125"/>
      <c r="E85" s="26"/>
      <c r="F85" s="26"/>
      <c r="G85" s="26"/>
      <c r="H85" s="26"/>
      <c r="I85" s="26"/>
      <c r="J85" s="26"/>
      <c r="K85" s="26"/>
      <c r="L85" s="26"/>
      <c r="M85" s="26"/>
      <c r="N85" s="26"/>
      <c r="O85" s="26"/>
      <c r="P85" s="26"/>
      <c r="Q85" s="26"/>
      <c r="R85" s="26"/>
      <c r="S85" s="26"/>
      <c r="T85" s="125">
        <v>13.166666666283467</v>
      </c>
      <c r="U85" s="125">
        <v>6.1707228163571628</v>
      </c>
      <c r="V85" s="125">
        <v>0.13222128138353337</v>
      </c>
      <c r="W85" s="125">
        <v>-1.634398216863003E-2</v>
      </c>
    </row>
    <row r="86" spans="1:23">
      <c r="A86" s="6"/>
      <c r="B86" s="6"/>
      <c r="C86" s="125"/>
      <c r="D86" s="125"/>
      <c r="E86" s="26"/>
      <c r="F86" s="26"/>
      <c r="G86" s="26"/>
      <c r="H86" s="26"/>
      <c r="I86" s="26"/>
      <c r="J86" s="26"/>
      <c r="K86" s="26"/>
      <c r="L86" s="26"/>
      <c r="M86" s="26"/>
      <c r="N86" s="26"/>
      <c r="O86" s="26"/>
      <c r="P86" s="26"/>
      <c r="Q86" s="26"/>
      <c r="R86" s="26"/>
      <c r="S86" s="26"/>
      <c r="T86" s="125">
        <v>13.333333332945283</v>
      </c>
      <c r="U86" s="125">
        <v>6.1923842720876552</v>
      </c>
      <c r="V86" s="125">
        <v>0.12818087292227906</v>
      </c>
      <c r="W86" s="125">
        <v>-7.906907129520439E-3</v>
      </c>
    </row>
    <row r="87" spans="1:23">
      <c r="A87" s="6"/>
      <c r="B87" s="6"/>
      <c r="C87" s="125"/>
      <c r="D87" s="125"/>
      <c r="E87" s="26"/>
      <c r="F87" s="26"/>
      <c r="G87" s="26"/>
      <c r="H87" s="26"/>
      <c r="I87" s="26"/>
      <c r="J87" s="26"/>
      <c r="K87" s="26"/>
      <c r="L87" s="26"/>
      <c r="M87" s="26"/>
      <c r="N87" s="26"/>
      <c r="O87" s="26"/>
      <c r="P87" s="26"/>
      <c r="Q87" s="26"/>
      <c r="R87" s="26"/>
      <c r="S87" s="26"/>
      <c r="T87" s="125">
        <v>13.499999999607098</v>
      </c>
      <c r="U87" s="125">
        <v>6.2136064552503409</v>
      </c>
      <c r="V87" s="125">
        <v>0.12695282292987994</v>
      </c>
      <c r="W87" s="125">
        <v>5.3016790958914978E-4</v>
      </c>
    </row>
    <row r="88" spans="1:23">
      <c r="A88" s="6"/>
      <c r="B88" s="6"/>
      <c r="C88" s="125"/>
      <c r="D88" s="125"/>
      <c r="E88" s="26"/>
      <c r="F88" s="26"/>
      <c r="G88" s="26"/>
      <c r="H88" s="26"/>
      <c r="I88" s="26"/>
      <c r="J88" s="26"/>
      <c r="K88" s="26"/>
      <c r="L88" s="26"/>
      <c r="M88" s="26"/>
      <c r="N88" s="26"/>
      <c r="O88" s="26"/>
      <c r="P88" s="26"/>
      <c r="Q88" s="26"/>
      <c r="R88" s="26"/>
      <c r="S88" s="26"/>
      <c r="T88" s="125">
        <v>13.666666666268915</v>
      </c>
      <c r="U88" s="125">
        <v>6.2348580922564123</v>
      </c>
      <c r="V88" s="125">
        <v>0.12853713140100698</v>
      </c>
      <c r="W88" s="125">
        <v>8.9672429486987396E-3</v>
      </c>
    </row>
    <row r="89" spans="1:23">
      <c r="A89" s="6"/>
      <c r="B89" s="6"/>
      <c r="C89" s="125"/>
      <c r="D89" s="125"/>
      <c r="E89" s="26"/>
      <c r="F89" s="26"/>
      <c r="G89" s="26"/>
      <c r="H89" s="26"/>
      <c r="I89" s="26"/>
      <c r="J89" s="26"/>
      <c r="K89" s="26"/>
      <c r="L89" s="26"/>
      <c r="M89" s="26"/>
      <c r="N89" s="26"/>
      <c r="O89" s="26"/>
      <c r="P89" s="26"/>
      <c r="Q89" s="26"/>
      <c r="R89" s="26"/>
      <c r="S89" s="26"/>
      <c r="T89" s="125">
        <v>13.833333332930732</v>
      </c>
      <c r="U89" s="125">
        <v>6.2565592194605832</v>
      </c>
      <c r="V89" s="125">
        <v>0.13194062595929115</v>
      </c>
      <c r="W89" s="125">
        <v>1.066673149872035E-2</v>
      </c>
    </row>
    <row r="90" spans="1:23">
      <c r="A90" s="6"/>
      <c r="B90" s="6"/>
      <c r="C90" s="125"/>
      <c r="D90" s="125"/>
      <c r="E90" s="26"/>
      <c r="F90" s="26"/>
      <c r="G90" s="26"/>
      <c r="H90" s="26"/>
      <c r="I90" s="26"/>
      <c r="J90" s="26"/>
      <c r="K90" s="26"/>
      <c r="L90" s="26"/>
      <c r="M90" s="26"/>
      <c r="N90" s="26"/>
      <c r="O90" s="26"/>
      <c r="P90" s="26"/>
      <c r="Q90" s="26"/>
      <c r="R90" s="26"/>
      <c r="S90" s="26"/>
      <c r="T90" s="125">
        <v>13.999999999592546</v>
      </c>
      <c r="U90" s="125">
        <v>6.2788528308246736</v>
      </c>
      <c r="V90" s="125">
        <v>0.13563143332579516</v>
      </c>
      <c r="W90" s="125">
        <v>1.147729911177383E-2</v>
      </c>
    </row>
    <row r="91" spans="1:23">
      <c r="A91" s="6"/>
      <c r="B91" s="6"/>
      <c r="C91" s="125"/>
      <c r="D91" s="125"/>
      <c r="E91" s="26"/>
      <c r="F91" s="26"/>
      <c r="G91" s="26"/>
      <c r="H91" s="26"/>
      <c r="I91" s="26"/>
      <c r="J91" s="26"/>
      <c r="K91" s="26"/>
      <c r="L91" s="26"/>
      <c r="M91" s="26"/>
      <c r="N91" s="26"/>
      <c r="O91" s="26"/>
      <c r="P91" s="26"/>
      <c r="Q91" s="26"/>
      <c r="R91" s="26"/>
      <c r="S91" s="26"/>
      <c r="T91" s="125">
        <v>14.166666666254363</v>
      </c>
      <c r="U91" s="125">
        <v>6.3017840703064261</v>
      </c>
      <c r="V91" s="125">
        <v>0.13959243356305087</v>
      </c>
      <c r="W91" s="125">
        <v>1.2287882712122132E-2</v>
      </c>
    </row>
    <row r="92" spans="1:23">
      <c r="A92" s="6"/>
      <c r="B92" s="6"/>
      <c r="C92" s="125"/>
      <c r="D92" s="125"/>
      <c r="E92" s="26"/>
      <c r="F92" s="26"/>
      <c r="G92" s="26"/>
      <c r="H92" s="26"/>
      <c r="I92" s="26"/>
      <c r="J92" s="26"/>
      <c r="K92" s="26"/>
      <c r="L92" s="26"/>
      <c r="M92" s="26"/>
      <c r="N92" s="26"/>
      <c r="O92" s="26"/>
      <c r="P92" s="26"/>
      <c r="Q92" s="26"/>
      <c r="R92" s="26"/>
      <c r="S92" s="26"/>
      <c r="T92" s="125">
        <v>14.33333333291618</v>
      </c>
      <c r="U92" s="125">
        <v>6.3253979700508927</v>
      </c>
      <c r="V92" s="125">
        <v>0.14382362667105822</v>
      </c>
      <c r="W92" s="125">
        <v>1.3098466312303899E-2</v>
      </c>
    </row>
    <row r="93" spans="1:23">
      <c r="A93" s="6"/>
      <c r="B93" s="6"/>
      <c r="C93" s="125"/>
      <c r="D93" s="125"/>
      <c r="E93" s="26"/>
      <c r="F93" s="26"/>
      <c r="G93" s="26"/>
      <c r="H93" s="26"/>
      <c r="I93" s="26"/>
      <c r="J93" s="26"/>
      <c r="K93" s="26"/>
      <c r="L93" s="26"/>
      <c r="M93" s="26"/>
      <c r="N93" s="26"/>
      <c r="O93" s="26"/>
      <c r="P93" s="26"/>
      <c r="Q93" s="26"/>
      <c r="R93" s="26"/>
      <c r="S93" s="26"/>
      <c r="T93" s="125">
        <v>14.499999999577994</v>
      </c>
      <c r="U93" s="125">
        <v>6.3497395622031245</v>
      </c>
      <c r="V93" s="125">
        <v>0.14832501264981726</v>
      </c>
      <c r="W93" s="125">
        <v>1.3909033925357379E-2</v>
      </c>
    </row>
    <row r="94" spans="1:23">
      <c r="A94" s="6"/>
      <c r="B94" s="6"/>
      <c r="C94" s="125"/>
      <c r="D94" s="125"/>
      <c r="E94" s="26"/>
      <c r="F94" s="26"/>
      <c r="G94" s="26"/>
      <c r="H94" s="26"/>
      <c r="I94" s="26"/>
      <c r="J94" s="26"/>
      <c r="K94" s="26"/>
      <c r="L94" s="26"/>
      <c r="M94" s="26"/>
      <c r="N94" s="26"/>
      <c r="O94" s="26"/>
      <c r="P94" s="26"/>
      <c r="Q94" s="26"/>
      <c r="R94" s="26"/>
      <c r="S94" s="26"/>
      <c r="T94" s="125">
        <v>14.666666666239811</v>
      </c>
      <c r="U94" s="125">
        <v>6.3748538789081737</v>
      </c>
      <c r="V94" s="125">
        <v>0.153096591499328</v>
      </c>
      <c r="W94" s="125">
        <v>1.4719617525705679E-2</v>
      </c>
    </row>
    <row r="95" spans="1:23">
      <c r="A95" s="6"/>
      <c r="B95" s="6"/>
      <c r="C95" s="125"/>
      <c r="D95" s="125"/>
      <c r="E95" s="26"/>
      <c r="F95" s="26"/>
      <c r="G95" s="26"/>
      <c r="H95" s="26"/>
      <c r="I95" s="26"/>
      <c r="J95" s="26"/>
      <c r="K95" s="26"/>
      <c r="L95" s="26"/>
      <c r="M95" s="26"/>
      <c r="N95" s="26"/>
      <c r="O95" s="26"/>
      <c r="P95" s="26"/>
      <c r="Q95" s="26"/>
      <c r="R95" s="26"/>
      <c r="S95" s="26"/>
      <c r="T95" s="125">
        <v>14.833333332901628</v>
      </c>
      <c r="U95" s="125">
        <v>6.4007859523110913</v>
      </c>
      <c r="V95" s="125">
        <v>0.15813836321426131</v>
      </c>
      <c r="W95" s="125">
        <v>1.5530185138759159E-2</v>
      </c>
    </row>
    <row r="96" spans="1:23">
      <c r="A96" s="6"/>
      <c r="B96" s="6"/>
      <c r="C96" s="125"/>
      <c r="D96" s="125"/>
      <c r="E96" s="26"/>
      <c r="F96" s="26"/>
      <c r="G96" s="26"/>
      <c r="H96" s="26"/>
      <c r="I96" s="26"/>
      <c r="J96" s="26"/>
      <c r="K96" s="26"/>
      <c r="L96" s="26"/>
      <c r="M96" s="26"/>
      <c r="N96" s="26"/>
      <c r="O96" s="26"/>
      <c r="P96" s="26"/>
      <c r="Q96" s="26"/>
      <c r="R96" s="26"/>
      <c r="S96" s="26"/>
      <c r="T96" s="125">
        <v>14.999999999563443</v>
      </c>
      <c r="U96" s="125">
        <v>6.4275808144156823</v>
      </c>
      <c r="V96" s="125">
        <v>0.16345009566563454</v>
      </c>
      <c r="W96" s="125">
        <v>1.623303092043786E-2</v>
      </c>
    </row>
    <row r="97" spans="1:23">
      <c r="A97" s="6"/>
      <c r="B97" s="6"/>
      <c r="C97" s="125"/>
      <c r="D97" s="125"/>
      <c r="E97" s="26"/>
      <c r="F97" s="26"/>
      <c r="G97" s="26"/>
      <c r="H97" s="26"/>
      <c r="I97" s="26"/>
      <c r="J97" s="26"/>
      <c r="K97" s="26"/>
      <c r="L97" s="26"/>
      <c r="M97" s="26"/>
      <c r="N97" s="26"/>
      <c r="O97" s="26"/>
      <c r="P97" s="26"/>
      <c r="Q97" s="26"/>
      <c r="R97" s="26"/>
      <c r="S97" s="26"/>
      <c r="T97" s="125">
        <v>15.166666666225259</v>
      </c>
      <c r="U97" s="125">
        <v>6.4551966136120056</v>
      </c>
      <c r="V97" s="125">
        <v>0.16748543118215775</v>
      </c>
      <c r="W97" s="125">
        <v>7.9872268802898324E-3</v>
      </c>
    </row>
    <row r="98" spans="1:23">
      <c r="A98" s="6"/>
      <c r="B98" s="6"/>
      <c r="C98" s="125"/>
      <c r="D98" s="125"/>
      <c r="E98" s="26"/>
      <c r="F98" s="26"/>
      <c r="G98" s="26"/>
      <c r="H98" s="26"/>
      <c r="I98" s="26"/>
      <c r="J98" s="26"/>
      <c r="K98" s="26"/>
      <c r="L98" s="26"/>
      <c r="M98" s="26"/>
      <c r="N98" s="26"/>
      <c r="O98" s="26"/>
      <c r="P98" s="26"/>
      <c r="Q98" s="26"/>
      <c r="R98" s="26"/>
      <c r="S98" s="26"/>
      <c r="T98" s="125">
        <v>15.333333332887076</v>
      </c>
      <c r="U98" s="125">
        <v>6.4832561481232966</v>
      </c>
      <c r="V98" s="125">
        <v>0.16877217084634771</v>
      </c>
      <c r="W98" s="125">
        <v>-2.5856117248010732E-4</v>
      </c>
    </row>
    <row r="99" spans="1:23">
      <c r="A99" s="6"/>
      <c r="B99" s="6"/>
      <c r="C99" s="125"/>
      <c r="D99" s="125"/>
      <c r="E99" s="26"/>
      <c r="F99" s="26"/>
      <c r="G99" s="26"/>
      <c r="H99" s="26"/>
      <c r="I99" s="26"/>
      <c r="J99" s="26"/>
      <c r="K99" s="26"/>
      <c r="L99" s="26"/>
      <c r="M99" s="26"/>
      <c r="N99" s="26"/>
      <c r="O99" s="26"/>
      <c r="P99" s="26"/>
      <c r="Q99" s="26"/>
      <c r="R99" s="26"/>
      <c r="S99" s="26"/>
      <c r="T99" s="125">
        <v>15.499999999548891</v>
      </c>
      <c r="U99" s="125">
        <v>6.511301318639493</v>
      </c>
      <c r="V99" s="125">
        <v>0.16731031464754623</v>
      </c>
      <c r="W99" s="125">
        <v>-8.5043492253333141E-3</v>
      </c>
    </row>
    <row r="100" spans="1:23">
      <c r="A100" s="6"/>
      <c r="B100" s="6"/>
      <c r="C100" s="125"/>
      <c r="D100" s="125"/>
      <c r="E100" s="26"/>
      <c r="F100" s="26"/>
      <c r="G100" s="26"/>
      <c r="H100" s="26"/>
      <c r="I100" s="26"/>
      <c r="J100" s="26"/>
      <c r="K100" s="26"/>
      <c r="L100" s="26"/>
      <c r="M100" s="26"/>
      <c r="N100" s="26"/>
      <c r="O100" s="26"/>
      <c r="P100" s="26"/>
      <c r="Q100" s="26"/>
      <c r="R100" s="26"/>
      <c r="S100" s="26"/>
      <c r="T100" s="125">
        <v>15.666666666210707</v>
      </c>
      <c r="U100" s="125">
        <v>6.5388740258505313</v>
      </c>
      <c r="V100" s="125">
        <v>0.16309986259108239</v>
      </c>
      <c r="W100" s="125">
        <v>-1.6750121290974966E-2</v>
      </c>
    </row>
    <row r="101" spans="1:23">
      <c r="A101" s="6"/>
      <c r="B101" s="6"/>
      <c r="C101" s="125"/>
      <c r="D101" s="125"/>
      <c r="E101" s="26"/>
      <c r="F101" s="26"/>
      <c r="G101" s="26"/>
      <c r="H101" s="26"/>
      <c r="I101" s="26"/>
      <c r="J101" s="26"/>
      <c r="K101" s="26"/>
      <c r="L101" s="26"/>
      <c r="M101" s="26"/>
      <c r="N101" s="26"/>
      <c r="O101" s="26"/>
      <c r="P101" s="26"/>
      <c r="Q101" s="26"/>
      <c r="R101" s="26"/>
      <c r="S101" s="26"/>
      <c r="T101" s="125">
        <v>15.833333332872524</v>
      </c>
      <c r="U101" s="125">
        <v>6.5655161704463483</v>
      </c>
      <c r="V101" s="125">
        <v>0.15614081467162713</v>
      </c>
      <c r="W101" s="125">
        <v>-2.4995909343828171E-2</v>
      </c>
    </row>
    <row r="102" spans="1:23">
      <c r="A102" s="6"/>
      <c r="B102" s="6"/>
      <c r="C102" s="125"/>
      <c r="D102" s="125"/>
      <c r="E102" s="26"/>
      <c r="F102" s="26"/>
      <c r="G102" s="26"/>
      <c r="H102" s="26"/>
      <c r="I102" s="26"/>
      <c r="J102" s="26"/>
      <c r="K102" s="26"/>
      <c r="L102" s="26"/>
      <c r="M102" s="26"/>
      <c r="N102" s="26"/>
      <c r="O102" s="26"/>
      <c r="P102" s="26"/>
      <c r="Q102" s="26"/>
      <c r="R102" s="26"/>
      <c r="S102" s="26"/>
      <c r="T102" s="125">
        <v>15.999999999534339</v>
      </c>
      <c r="U102" s="125">
        <v>6.5907696531168813</v>
      </c>
      <c r="V102" s="125">
        <v>0.14643317088918045</v>
      </c>
      <c r="W102" s="125">
        <v>-3.3241713383809664E-2</v>
      </c>
    </row>
    <row r="103" spans="1:23">
      <c r="A103" s="6"/>
      <c r="B103" s="6"/>
      <c r="C103" s="125"/>
      <c r="D103" s="125"/>
      <c r="E103" s="26"/>
      <c r="F103" s="26"/>
      <c r="G103" s="26"/>
      <c r="H103" s="26"/>
      <c r="I103" s="26"/>
      <c r="J103" s="26"/>
      <c r="K103" s="26"/>
      <c r="L103" s="26"/>
      <c r="M103" s="26"/>
      <c r="N103" s="26"/>
      <c r="O103" s="26"/>
      <c r="P103" s="26"/>
      <c r="Q103" s="26"/>
      <c r="R103" s="26"/>
      <c r="S103" s="26"/>
      <c r="T103" s="125">
        <v>16.166666666196157</v>
      </c>
      <c r="U103" s="125">
        <v>6.6141763745520654</v>
      </c>
      <c r="V103" s="125">
        <v>0.1339769312490714</v>
      </c>
      <c r="W103" s="125">
        <v>-4.1487485449534581E-2</v>
      </c>
    </row>
    <row r="104" spans="1:23">
      <c r="A104" s="6"/>
      <c r="B104" s="6"/>
      <c r="C104" s="125"/>
      <c r="D104" s="125"/>
      <c r="E104" s="26"/>
      <c r="F104" s="26"/>
      <c r="G104" s="26"/>
      <c r="H104" s="26"/>
      <c r="I104" s="26"/>
      <c r="J104" s="26"/>
      <c r="K104" s="26"/>
      <c r="L104" s="26"/>
      <c r="M104" s="26"/>
      <c r="N104" s="26"/>
      <c r="O104" s="26"/>
      <c r="P104" s="26"/>
      <c r="Q104" s="26"/>
      <c r="R104" s="26"/>
      <c r="S104" s="26"/>
      <c r="T104" s="125">
        <v>16.333333332857972</v>
      </c>
      <c r="U104" s="125">
        <v>6.6352782354418389</v>
      </c>
      <c r="V104" s="125">
        <v>0.11877209575130002</v>
      </c>
      <c r="W104" s="125">
        <v>-4.9733257515134605E-2</v>
      </c>
    </row>
    <row r="105" spans="1:23">
      <c r="A105" s="6"/>
      <c r="B105" s="6"/>
      <c r="C105" s="125"/>
      <c r="D105" s="125"/>
      <c r="E105" s="26"/>
      <c r="F105" s="26"/>
      <c r="G105" s="26"/>
      <c r="H105" s="26"/>
      <c r="I105" s="26"/>
      <c r="J105" s="26"/>
      <c r="K105" s="26"/>
      <c r="L105" s="26"/>
      <c r="M105" s="26"/>
      <c r="N105" s="26"/>
      <c r="O105" s="26"/>
      <c r="P105" s="26"/>
      <c r="Q105" s="26"/>
      <c r="R105" s="26"/>
      <c r="S105" s="26"/>
      <c r="T105" s="125">
        <v>16.499999999519787</v>
      </c>
      <c r="U105" s="125">
        <v>6.6536171364761376</v>
      </c>
      <c r="V105" s="125">
        <v>0.1008186643905372</v>
      </c>
      <c r="W105" s="125">
        <v>-5.7979045567987809E-2</v>
      </c>
    </row>
    <row r="106" spans="1:23">
      <c r="A106" s="6"/>
      <c r="B106" s="6"/>
      <c r="C106" s="125"/>
      <c r="D106" s="125"/>
      <c r="E106" s="26"/>
      <c r="F106" s="26"/>
      <c r="G106" s="26"/>
      <c r="H106" s="26"/>
      <c r="I106" s="26"/>
      <c r="J106" s="26"/>
      <c r="K106" s="26"/>
      <c r="L106" s="26"/>
      <c r="M106" s="26"/>
      <c r="N106" s="26"/>
      <c r="O106" s="26"/>
      <c r="P106" s="26"/>
      <c r="Q106" s="26"/>
      <c r="R106" s="26"/>
      <c r="S106" s="26"/>
      <c r="T106" s="125">
        <v>16.666666666181605</v>
      </c>
      <c r="U106" s="125">
        <v>6.6687498205856004</v>
      </c>
      <c r="V106" s="125">
        <v>8.0712231029029594E-2</v>
      </c>
      <c r="W106" s="125">
        <v>-5.8293498032064434E-2</v>
      </c>
    </row>
    <row r="107" spans="1:23">
      <c r="A107" s="6"/>
      <c r="B107" s="6"/>
      <c r="C107" s="125"/>
      <c r="D107" s="125"/>
      <c r="E107" s="26"/>
      <c r="F107" s="26"/>
      <c r="G107" s="26"/>
      <c r="H107" s="26"/>
      <c r="I107" s="26"/>
      <c r="J107" s="26"/>
      <c r="K107" s="26"/>
      <c r="L107" s="26"/>
      <c r="M107" s="26"/>
      <c r="N107" s="26"/>
      <c r="O107" s="26"/>
      <c r="P107" s="26"/>
      <c r="Q107" s="26"/>
      <c r="R107" s="26"/>
      <c r="S107" s="26"/>
      <c r="T107" s="125">
        <v>16.83333333284342</v>
      </c>
      <c r="U107" s="125">
        <v>6.6806712218128785</v>
      </c>
      <c r="V107" s="125">
        <v>6.2848761023967567E-2</v>
      </c>
      <c r="W107" s="125">
        <v>-4.8896710683262505E-2</v>
      </c>
    </row>
    <row r="108" spans="1:23">
      <c r="A108" s="6"/>
      <c r="B108" s="6"/>
      <c r="C108" s="125"/>
      <c r="D108" s="125"/>
      <c r="E108" s="26"/>
      <c r="F108" s="26"/>
      <c r="G108" s="26"/>
      <c r="H108" s="26"/>
      <c r="I108" s="26"/>
      <c r="J108" s="26"/>
      <c r="K108" s="26"/>
      <c r="L108" s="26"/>
      <c r="M108" s="26"/>
      <c r="N108" s="26"/>
      <c r="O108" s="26"/>
      <c r="P108" s="26"/>
      <c r="Q108" s="26"/>
      <c r="R108" s="26"/>
      <c r="S108" s="26"/>
      <c r="T108" s="125">
        <v>16.999999999505235</v>
      </c>
      <c r="U108" s="125">
        <v>6.6898761376740667</v>
      </c>
      <c r="V108" s="125">
        <v>4.8117538888072096E-2</v>
      </c>
      <c r="W108" s="125">
        <v>-3.9499987283327612E-2</v>
      </c>
    </row>
    <row r="109" spans="1:23">
      <c r="A109" s="6"/>
      <c r="B109" s="6"/>
      <c r="C109" s="125"/>
      <c r="D109" s="125"/>
      <c r="E109" s="26"/>
      <c r="F109" s="26"/>
      <c r="G109" s="26"/>
      <c r="H109" s="26"/>
      <c r="I109" s="26"/>
      <c r="J109" s="26"/>
      <c r="K109" s="26"/>
      <c r="L109" s="26"/>
      <c r="M109" s="26"/>
      <c r="N109" s="26"/>
      <c r="O109" s="26"/>
      <c r="P109" s="26"/>
      <c r="Q109" s="26"/>
      <c r="R109" s="26"/>
      <c r="S109" s="26"/>
      <c r="T109" s="125">
        <v>17.166666666167053</v>
      </c>
      <c r="U109" s="125">
        <v>6.6968866094821253</v>
      </c>
      <c r="V109" s="125">
        <v>3.6518564632001323E-2</v>
      </c>
      <c r="W109" s="125">
        <v>-3.0103231908969613E-2</v>
      </c>
    </row>
    <row r="110" spans="1:23">
      <c r="A110" s="6"/>
      <c r="B110" s="6"/>
      <c r="C110" s="125"/>
      <c r="D110" s="125"/>
      <c r="E110" s="26"/>
      <c r="F110" s="26"/>
      <c r="G110" s="26"/>
      <c r="H110" s="26"/>
      <c r="I110" s="26"/>
      <c r="J110" s="26"/>
      <c r="K110" s="26"/>
      <c r="L110" s="26"/>
      <c r="M110" s="26"/>
      <c r="N110" s="26"/>
      <c r="O110" s="26"/>
      <c r="P110" s="26"/>
      <c r="Q110" s="26"/>
      <c r="R110" s="26"/>
      <c r="S110" s="26"/>
      <c r="T110" s="125">
        <v>17.333333332828868</v>
      </c>
      <c r="U110" s="125">
        <v>6.7022246785500164</v>
      </c>
      <c r="V110" s="125">
        <v>2.8051838255755256E-2</v>
      </c>
      <c r="W110" s="125">
        <v>-2.0706492521823168E-2</v>
      </c>
    </row>
    <row r="111" spans="1:23">
      <c r="A111" s="6"/>
      <c r="B111" s="6"/>
      <c r="C111" s="125"/>
      <c r="D111" s="125"/>
      <c r="E111" s="26"/>
      <c r="F111" s="26"/>
      <c r="G111" s="26"/>
      <c r="H111" s="26"/>
      <c r="I111" s="26"/>
      <c r="J111" s="26"/>
      <c r="K111" s="26"/>
      <c r="L111" s="26"/>
      <c r="M111" s="26"/>
      <c r="N111" s="26"/>
      <c r="O111" s="26"/>
      <c r="P111" s="26"/>
      <c r="Q111" s="26"/>
      <c r="R111" s="26"/>
      <c r="S111" s="26"/>
      <c r="T111" s="125">
        <v>17.499999999490683</v>
      </c>
      <c r="U111" s="125">
        <v>6.7064123861907019</v>
      </c>
      <c r="V111" s="125">
        <v>2.2717359748675746E-2</v>
      </c>
      <c r="W111" s="125">
        <v>-1.1309769121888278E-2</v>
      </c>
    </row>
    <row r="112" spans="1:23">
      <c r="A112" s="6"/>
      <c r="B112" s="6"/>
      <c r="C112" s="125"/>
      <c r="D112" s="125"/>
      <c r="E112" s="26"/>
      <c r="F112" s="26"/>
      <c r="G112" s="26"/>
      <c r="H112" s="26"/>
      <c r="I112" s="26"/>
      <c r="J112" s="26"/>
      <c r="K112" s="26"/>
      <c r="L112" s="26"/>
      <c r="M112" s="26"/>
      <c r="N112" s="26"/>
      <c r="O112" s="26"/>
      <c r="P112" s="26"/>
      <c r="Q112" s="26"/>
      <c r="R112" s="26"/>
      <c r="S112" s="26"/>
      <c r="T112" s="125">
        <v>17.666666666152501</v>
      </c>
      <c r="U112" s="125">
        <v>6.7099717737171423</v>
      </c>
      <c r="V112" s="125">
        <v>2.051512912675001E-2</v>
      </c>
      <c r="W112" s="125">
        <v>-1.9130137475198686E-3</v>
      </c>
    </row>
    <row r="113" spans="1:23">
      <c r="A113" s="6"/>
      <c r="B113" s="6"/>
      <c r="C113" s="125"/>
      <c r="D113" s="125"/>
      <c r="E113" s="26"/>
      <c r="F113" s="26"/>
      <c r="G113" s="26"/>
      <c r="H113" s="26"/>
      <c r="I113" s="26"/>
      <c r="J113" s="26"/>
      <c r="K113" s="26"/>
      <c r="L113" s="26"/>
      <c r="M113" s="26"/>
      <c r="N113" s="26"/>
      <c r="O113" s="26"/>
      <c r="P113" s="26"/>
      <c r="Q113" s="26"/>
      <c r="R113" s="26"/>
      <c r="S113" s="26"/>
      <c r="T113" s="125">
        <v>17.833333332814316</v>
      </c>
      <c r="U113" s="125">
        <v>6.7134248824423004</v>
      </c>
      <c r="V113" s="125">
        <v>2.1445146384648971E-2</v>
      </c>
      <c r="W113" s="125">
        <v>7.4837256396265766E-3</v>
      </c>
    </row>
    <row r="114" spans="1:23">
      <c r="A114" s="6"/>
      <c r="B114" s="6"/>
      <c r="C114" s="125"/>
      <c r="D114" s="125"/>
      <c r="E114" s="26"/>
      <c r="F114" s="26"/>
      <c r="G114" s="26"/>
      <c r="H114" s="26"/>
      <c r="I114" s="26"/>
      <c r="J114" s="26"/>
      <c r="K114" s="26"/>
      <c r="L114" s="26"/>
      <c r="M114" s="26"/>
      <c r="N114" s="26"/>
      <c r="O114" s="26"/>
      <c r="P114" s="26"/>
      <c r="Q114" s="26"/>
      <c r="R114" s="26"/>
      <c r="S114" s="26"/>
      <c r="T114" s="125">
        <v>17.999999999476131</v>
      </c>
      <c r="U114" s="125">
        <v>6.7172937536791366</v>
      </c>
      <c r="V114" s="125">
        <v>2.5507411517043565E-2</v>
      </c>
      <c r="W114" s="125">
        <v>1.6880481013984577E-2</v>
      </c>
    </row>
    <row r="115" spans="1:23">
      <c r="A115" s="6"/>
      <c r="B115" s="6"/>
      <c r="C115" s="125"/>
      <c r="D115" s="125"/>
      <c r="E115" s="26"/>
      <c r="F115" s="26"/>
      <c r="G115" s="26"/>
      <c r="H115" s="26"/>
      <c r="I115" s="26"/>
      <c r="J115" s="26"/>
      <c r="K115" s="26"/>
      <c r="L115" s="26"/>
      <c r="M115" s="26"/>
      <c r="N115" s="26"/>
      <c r="O115" s="26"/>
      <c r="P115" s="26"/>
      <c r="Q115" s="26"/>
      <c r="R115" s="26"/>
      <c r="S115" s="26"/>
      <c r="T115" s="125">
        <v>18.166666666137949</v>
      </c>
      <c r="U115" s="125">
        <v>6.7221004287406148</v>
      </c>
      <c r="V115" s="125">
        <v>3.2701924523933786E-2</v>
      </c>
      <c r="W115" s="125">
        <v>2.6277204413929875E-2</v>
      </c>
    </row>
    <row r="116" spans="1:23">
      <c r="A116" s="6"/>
      <c r="B116" s="6"/>
      <c r="C116" s="125"/>
      <c r="D116" s="125"/>
      <c r="E116" s="26"/>
      <c r="F116" s="26"/>
      <c r="G116" s="26"/>
      <c r="H116" s="26"/>
      <c r="I116" s="26"/>
      <c r="J116" s="26"/>
      <c r="K116" s="26"/>
      <c r="L116" s="26"/>
      <c r="M116" s="26"/>
      <c r="N116" s="26"/>
      <c r="O116" s="26"/>
      <c r="P116" s="26"/>
      <c r="Q116" s="26"/>
      <c r="R116" s="26"/>
      <c r="S116" s="26"/>
      <c r="T116" s="125">
        <v>18.333333332799764</v>
      </c>
      <c r="U116" s="125">
        <v>6.7283669489396942</v>
      </c>
      <c r="V116" s="125">
        <v>4.3028685415977784E-2</v>
      </c>
      <c r="W116" s="125">
        <v>3.5673959788287878E-2</v>
      </c>
    </row>
    <row r="117" spans="1:23">
      <c r="A117" s="6"/>
      <c r="B117" s="6"/>
      <c r="C117" s="125"/>
      <c r="D117" s="125"/>
      <c r="E117" s="26"/>
      <c r="F117" s="26"/>
      <c r="G117" s="26"/>
      <c r="H117" s="26"/>
      <c r="I117" s="26"/>
      <c r="J117" s="26"/>
      <c r="K117" s="26"/>
      <c r="L117" s="26"/>
      <c r="M117" s="26"/>
      <c r="N117" s="26"/>
      <c r="O117" s="26"/>
      <c r="P117" s="26"/>
      <c r="Q117" s="26"/>
      <c r="R117" s="26"/>
      <c r="S117" s="26"/>
      <c r="T117" s="125">
        <v>18.499999999461579</v>
      </c>
      <c r="U117" s="125">
        <v>6.7365941691292548</v>
      </c>
      <c r="V117" s="125">
        <v>5.5804103531745655E-2</v>
      </c>
      <c r="W117" s="125">
        <v>3.7744815275480521E-2</v>
      </c>
    </row>
    <row r="118" spans="1:23">
      <c r="A118" s="6"/>
      <c r="B118" s="6"/>
      <c r="C118" s="125"/>
      <c r="D118" s="125"/>
      <c r="E118" s="26"/>
      <c r="F118" s="26"/>
      <c r="G118" s="26"/>
      <c r="H118" s="26"/>
      <c r="I118" s="26"/>
      <c r="J118" s="26"/>
      <c r="K118" s="26"/>
      <c r="L118" s="26"/>
      <c r="M118" s="26"/>
      <c r="N118" s="26"/>
      <c r="O118" s="26"/>
      <c r="P118" s="26"/>
      <c r="Q118" s="26"/>
      <c r="R118" s="26"/>
      <c r="S118" s="26"/>
      <c r="T118" s="125">
        <v>18.666666666123398</v>
      </c>
      <c r="U118" s="125">
        <v>6.7469079057878156</v>
      </c>
      <c r="V118" s="125">
        <v>6.7766500018802633E-2</v>
      </c>
      <c r="W118" s="125">
        <v>3.403325621519588E-2</v>
      </c>
    </row>
    <row r="119" spans="1:23">
      <c r="A119" s="6"/>
      <c r="B119" s="6"/>
      <c r="C119" s="125"/>
      <c r="D119" s="125"/>
      <c r="E119" s="26"/>
      <c r="F119" s="26"/>
      <c r="G119" s="26"/>
      <c r="H119" s="26"/>
      <c r="I119" s="26"/>
      <c r="J119" s="26"/>
      <c r="K119" s="26"/>
      <c r="L119" s="26"/>
      <c r="M119" s="26"/>
      <c r="N119" s="26"/>
      <c r="O119" s="26"/>
      <c r="P119" s="26"/>
      <c r="Q119" s="26"/>
      <c r="R119" s="26"/>
      <c r="S119" s="26"/>
      <c r="T119" s="125">
        <v>18.833333332785212</v>
      </c>
      <c r="U119" s="125">
        <v>6.7591123788159653</v>
      </c>
      <c r="V119" s="125">
        <v>7.8491702777025552E-2</v>
      </c>
      <c r="W119" s="125">
        <v>3.0321665180446499E-2</v>
      </c>
    </row>
    <row r="120" spans="1:23">
      <c r="A120" s="6"/>
      <c r="B120" s="6"/>
      <c r="C120" s="125"/>
      <c r="D120" s="125"/>
      <c r="E120" s="26"/>
      <c r="F120" s="26"/>
      <c r="G120" s="26"/>
      <c r="H120" s="26"/>
      <c r="I120" s="26"/>
      <c r="J120" s="26"/>
      <c r="K120" s="26"/>
      <c r="L120" s="26"/>
      <c r="M120" s="26"/>
      <c r="N120" s="26"/>
      <c r="O120" s="26"/>
      <c r="P120" s="26"/>
      <c r="Q120" s="26"/>
      <c r="R120" s="26"/>
      <c r="S120" s="26"/>
      <c r="T120" s="125">
        <v>18.999999999447027</v>
      </c>
      <c r="U120" s="125">
        <v>6.7730013892599583</v>
      </c>
      <c r="V120" s="125">
        <v>8.7979711811743494E-2</v>
      </c>
      <c r="W120" s="125">
        <v>2.6610074145738755E-2</v>
      </c>
    </row>
    <row r="121" spans="1:23">
      <c r="A121" s="6"/>
      <c r="B121" s="6"/>
      <c r="C121" s="125"/>
      <c r="D121" s="125"/>
      <c r="E121" s="26"/>
      <c r="F121" s="26"/>
      <c r="G121" s="26"/>
      <c r="H121" s="26"/>
      <c r="I121" s="26"/>
      <c r="J121" s="26"/>
      <c r="K121" s="26"/>
      <c r="L121" s="26"/>
      <c r="M121" s="26"/>
      <c r="N121" s="26"/>
      <c r="O121" s="26"/>
      <c r="P121" s="26"/>
      <c r="Q121" s="26"/>
      <c r="R121" s="26"/>
      <c r="S121" s="26"/>
      <c r="T121" s="125">
        <v>19.166666666108846</v>
      </c>
      <c r="U121" s="125">
        <v>6.7883687381660511</v>
      </c>
      <c r="V121" s="125">
        <v>9.6230527128285517E-2</v>
      </c>
      <c r="W121" s="125">
        <v>2.2898499098200929E-2</v>
      </c>
    </row>
    <row r="122" spans="1:23">
      <c r="A122" s="6"/>
      <c r="B122" s="6"/>
      <c r="C122" s="125"/>
      <c r="D122" s="125"/>
      <c r="E122" s="26"/>
      <c r="F122" s="26"/>
      <c r="G122" s="26"/>
      <c r="H122" s="26"/>
      <c r="I122" s="26"/>
      <c r="J122" s="26"/>
      <c r="K122" s="26"/>
      <c r="L122" s="26"/>
      <c r="M122" s="26"/>
      <c r="N122" s="26"/>
      <c r="O122" s="26"/>
      <c r="P122" s="26"/>
      <c r="Q122" s="26"/>
      <c r="R122" s="26"/>
      <c r="S122" s="26"/>
      <c r="T122" s="125">
        <v>19.33333333277066</v>
      </c>
      <c r="U122" s="125">
        <v>6.8050082265804983</v>
      </c>
      <c r="V122" s="125">
        <v>0.10324414872132257</v>
      </c>
      <c r="W122" s="125">
        <v>1.9186924050704737E-2</v>
      </c>
    </row>
    <row r="123" spans="1:23">
      <c r="A123" s="6"/>
      <c r="B123" s="6"/>
      <c r="C123" s="125"/>
      <c r="D123" s="125"/>
      <c r="E123" s="26"/>
      <c r="F123" s="26"/>
      <c r="G123" s="26"/>
      <c r="H123" s="26"/>
      <c r="I123" s="26"/>
      <c r="J123" s="26"/>
      <c r="K123" s="26"/>
      <c r="L123" s="26"/>
      <c r="M123" s="26"/>
      <c r="N123" s="26"/>
      <c r="O123" s="26"/>
      <c r="P123" s="26"/>
      <c r="Q123" s="26"/>
      <c r="R123" s="26"/>
      <c r="S123" s="26"/>
      <c r="T123" s="125">
        <v>19.499999999432475</v>
      </c>
      <c r="U123" s="125">
        <v>6.8227136555495553</v>
      </c>
      <c r="V123" s="125">
        <v>0.10902057659085462</v>
      </c>
      <c r="W123" s="125">
        <v>1.5475349003166911E-2</v>
      </c>
    </row>
    <row r="124" spans="1:23">
      <c r="A124" s="6"/>
      <c r="B124" s="6"/>
      <c r="C124" s="125"/>
      <c r="D124" s="125"/>
      <c r="E124" s="26"/>
      <c r="F124" s="26"/>
      <c r="G124" s="26"/>
      <c r="H124" s="26"/>
      <c r="I124" s="26"/>
      <c r="J124" s="26"/>
      <c r="K124" s="26"/>
      <c r="L124" s="26"/>
      <c r="M124" s="26"/>
      <c r="N124" s="26"/>
      <c r="O124" s="26"/>
      <c r="P124" s="26"/>
      <c r="Q124" s="26"/>
      <c r="R124" s="26"/>
      <c r="S124" s="26"/>
      <c r="T124" s="125">
        <v>19.666666666094294</v>
      </c>
      <c r="U124" s="125">
        <v>6.8412788261194786</v>
      </c>
      <c r="V124" s="125">
        <v>0.11355981074221076</v>
      </c>
      <c r="W124" s="125">
        <v>1.1763789942840641E-2</v>
      </c>
    </row>
    <row r="125" spans="1:23">
      <c r="A125" s="6"/>
      <c r="B125" s="6"/>
      <c r="C125" s="125"/>
      <c r="D125" s="125"/>
      <c r="E125" s="26"/>
      <c r="F125" s="26"/>
      <c r="G125" s="26"/>
      <c r="H125" s="26"/>
      <c r="I125" s="26"/>
      <c r="J125" s="26"/>
      <c r="K125" s="26"/>
      <c r="L125" s="26"/>
      <c r="M125" s="26"/>
      <c r="N125" s="26"/>
      <c r="O125" s="26"/>
      <c r="P125" s="26"/>
      <c r="Q125" s="26"/>
      <c r="R125" s="26"/>
      <c r="S125" s="26"/>
      <c r="T125" s="125">
        <v>19.833333332756109</v>
      </c>
      <c r="U125" s="125">
        <v>6.8604975393365235</v>
      </c>
      <c r="V125" s="125">
        <v>0.11686185116473286</v>
      </c>
      <c r="W125" s="125">
        <v>8.0521829209213389E-3</v>
      </c>
    </row>
    <row r="126" spans="1:23">
      <c r="A126" s="6"/>
      <c r="B126" s="6"/>
      <c r="C126" s="125"/>
      <c r="D126" s="125"/>
      <c r="E126" s="26"/>
      <c r="F126" s="26"/>
      <c r="G126" s="26"/>
      <c r="H126" s="26"/>
      <c r="I126" s="26"/>
      <c r="J126" s="26"/>
      <c r="K126" s="26"/>
      <c r="L126" s="26"/>
      <c r="M126" s="26"/>
      <c r="N126" s="26"/>
      <c r="O126" s="26"/>
      <c r="P126" s="26"/>
      <c r="Q126" s="26"/>
      <c r="R126" s="26"/>
      <c r="S126" s="26"/>
      <c r="T126" s="125">
        <v>19.999999999417923</v>
      </c>
      <c r="U126" s="125">
        <v>6.8801635962469438</v>
      </c>
      <c r="V126" s="125">
        <v>0.11892669786907903</v>
      </c>
      <c r="W126" s="125">
        <v>4.3406238605950683E-3</v>
      </c>
    </row>
    <row r="127" spans="1:23">
      <c r="A127" s="6"/>
      <c r="B127" s="6"/>
      <c r="C127" s="125"/>
      <c r="D127" s="125"/>
      <c r="E127" s="26"/>
      <c r="F127" s="26"/>
      <c r="G127" s="26"/>
      <c r="H127" s="26"/>
      <c r="I127" s="26"/>
      <c r="J127" s="26"/>
      <c r="K127" s="26"/>
      <c r="L127" s="26"/>
      <c r="M127" s="26"/>
      <c r="N127" s="26"/>
      <c r="O127" s="26"/>
      <c r="P127" s="26"/>
      <c r="Q127" s="26"/>
      <c r="R127" s="26"/>
      <c r="S127" s="26"/>
      <c r="T127" s="125">
        <v>20.166666666079742</v>
      </c>
      <c r="U127" s="125">
        <v>6.9000707978969977</v>
      </c>
      <c r="V127" s="125">
        <v>0.11975435084459116</v>
      </c>
      <c r="W127" s="125">
        <v>6.2901683863413244E-4</v>
      </c>
    </row>
    <row r="128" spans="1:23">
      <c r="A128" s="6"/>
      <c r="B128" s="6"/>
      <c r="C128" s="125"/>
      <c r="D128" s="125"/>
      <c r="E128" s="26"/>
      <c r="F128" s="26"/>
      <c r="G128" s="26"/>
      <c r="H128" s="26"/>
      <c r="I128" s="26"/>
      <c r="J128" s="26"/>
      <c r="K128" s="26"/>
      <c r="L128" s="26"/>
      <c r="M128" s="26"/>
      <c r="N128" s="26"/>
      <c r="O128" s="26"/>
      <c r="P128" s="26"/>
      <c r="Q128" s="26"/>
      <c r="R128" s="26"/>
      <c r="S128" s="26"/>
      <c r="T128" s="125">
        <v>20.333333332741557</v>
      </c>
      <c r="U128" s="125">
        <v>6.9200129453884243</v>
      </c>
      <c r="V128" s="125">
        <v>0.11934484985146436</v>
      </c>
      <c r="W128" s="125">
        <v>-3.0737812297183275E-3</v>
      </c>
    </row>
    <row r="129" spans="1:23">
      <c r="A129" s="6"/>
      <c r="B129" s="6"/>
      <c r="C129" s="125"/>
      <c r="D129" s="125"/>
      <c r="E129" s="26"/>
      <c r="F129" s="26"/>
      <c r="G129" s="26"/>
      <c r="H129" s="26"/>
      <c r="I129" s="26"/>
      <c r="J129" s="26"/>
      <c r="K129" s="26"/>
      <c r="L129" s="26"/>
      <c r="M129" s="26"/>
      <c r="N129" s="26"/>
      <c r="O129" s="26"/>
      <c r="P129" s="26"/>
      <c r="Q129" s="26"/>
      <c r="R129" s="26"/>
      <c r="S129" s="26"/>
      <c r="T129" s="125">
        <v>20.499999999403371</v>
      </c>
      <c r="U129" s="125">
        <v>6.9397872113829155</v>
      </c>
      <c r="V129" s="125">
        <v>0.11775728164119195</v>
      </c>
      <c r="W129" s="125">
        <v>-6.448281908787476E-3</v>
      </c>
    </row>
    <row r="130" spans="1:23">
      <c r="A130" s="6"/>
      <c r="B130" s="6"/>
      <c r="C130" s="125"/>
      <c r="D130" s="125"/>
      <c r="E130" s="26"/>
      <c r="F130" s="26"/>
      <c r="G130" s="26"/>
      <c r="H130" s="26"/>
      <c r="I130" s="26"/>
      <c r="J130" s="26"/>
      <c r="K130" s="26"/>
      <c r="L130" s="26"/>
      <c r="M130" s="26"/>
      <c r="N130" s="26"/>
      <c r="O130" s="26"/>
      <c r="P130" s="26"/>
      <c r="Q130" s="26"/>
      <c r="R130" s="26"/>
      <c r="S130" s="26"/>
      <c r="T130" s="125">
        <v>20.66666666606519</v>
      </c>
      <c r="U130" s="125">
        <v>6.9592032398816919</v>
      </c>
      <c r="V130" s="125">
        <v>0.11504487506976505</v>
      </c>
      <c r="W130" s="125">
        <v>-9.8227825878566231E-3</v>
      </c>
    </row>
    <row r="131" spans="1:23">
      <c r="A131" s="6"/>
      <c r="B131" s="6"/>
      <c r="C131" s="125"/>
      <c r="D131" s="125"/>
      <c r="E131" s="26"/>
      <c r="F131" s="26"/>
      <c r="G131" s="26"/>
      <c r="H131" s="26"/>
      <c r="I131" s="26"/>
      <c r="J131" s="26"/>
      <c r="K131" s="26"/>
      <c r="L131" s="26"/>
      <c r="M131" s="26"/>
      <c r="N131" s="26"/>
      <c r="O131" s="26"/>
      <c r="P131" s="26"/>
      <c r="Q131" s="26"/>
      <c r="R131" s="26"/>
      <c r="S131" s="26"/>
      <c r="T131" s="125">
        <v>20.833333332727005</v>
      </c>
      <c r="U131" s="125">
        <v>6.9780735578240041</v>
      </c>
      <c r="V131" s="125">
        <v>0.11120763012652549</v>
      </c>
      <c r="W131" s="125">
        <v>-1.3197315241432148E-2</v>
      </c>
    </row>
    <row r="132" spans="1:23">
      <c r="A132" s="6"/>
      <c r="B132" s="6"/>
      <c r="C132" s="125"/>
      <c r="D132" s="125"/>
      <c r="E132" s="26"/>
      <c r="F132" s="26"/>
      <c r="G132" s="26"/>
      <c r="H132" s="26"/>
      <c r="I132" s="26"/>
      <c r="J132" s="26"/>
      <c r="K132" s="26"/>
      <c r="L132" s="26"/>
      <c r="M132" s="26"/>
      <c r="N132" s="26"/>
      <c r="O132" s="26"/>
      <c r="P132" s="26"/>
      <c r="Q132" s="26"/>
      <c r="R132" s="26"/>
      <c r="S132" s="26"/>
      <c r="T132" s="125">
        <v>20.99999999938882</v>
      </c>
      <c r="U132" s="125">
        <v>6.9962106921490994</v>
      </c>
      <c r="V132" s="125">
        <v>0.10624554682213144</v>
      </c>
      <c r="W132" s="125">
        <v>-1.6571815920501297E-2</v>
      </c>
    </row>
    <row r="133" spans="1:23">
      <c r="A133" s="6"/>
      <c r="B133" s="6"/>
      <c r="C133" s="125"/>
      <c r="D133" s="125"/>
      <c r="E133" s="26"/>
      <c r="F133" s="26"/>
      <c r="G133" s="26"/>
      <c r="H133" s="26"/>
      <c r="I133" s="26"/>
      <c r="J133" s="26"/>
      <c r="K133" s="26"/>
      <c r="L133" s="26"/>
      <c r="M133" s="26"/>
      <c r="N133" s="26"/>
      <c r="O133" s="26"/>
      <c r="P133" s="26"/>
      <c r="Q133" s="26"/>
      <c r="R133" s="26"/>
      <c r="S133" s="26"/>
      <c r="T133" s="125">
        <v>21.166666666050638</v>
      </c>
      <c r="U133" s="125">
        <v>7.0134271697962305</v>
      </c>
      <c r="V133" s="125">
        <v>0.10015862515125383</v>
      </c>
      <c r="W133" s="125">
        <v>-1.9946348573993553E-2</v>
      </c>
    </row>
    <row r="134" spans="1:23">
      <c r="A134" s="6"/>
      <c r="B134" s="6"/>
      <c r="C134" s="125"/>
      <c r="D134" s="125"/>
      <c r="E134" s="26"/>
      <c r="F134" s="26"/>
      <c r="G134" s="26"/>
      <c r="H134" s="26"/>
      <c r="I134" s="26"/>
      <c r="J134" s="26"/>
      <c r="K134" s="26"/>
      <c r="L134" s="26"/>
      <c r="M134" s="26"/>
      <c r="N134" s="26"/>
      <c r="O134" s="26"/>
      <c r="P134" s="26"/>
      <c r="Q134" s="26"/>
      <c r="R134" s="26"/>
      <c r="S134" s="26"/>
      <c r="T134" s="125">
        <v>21.333333332712453</v>
      </c>
      <c r="U134" s="125">
        <v>7.0295355177046455</v>
      </c>
      <c r="V134" s="125">
        <v>9.2946865119221719E-2</v>
      </c>
      <c r="W134" s="125">
        <v>-2.3320849253062704E-2</v>
      </c>
    </row>
    <row r="135" spans="1:23">
      <c r="A135" s="6"/>
      <c r="B135" s="6"/>
      <c r="C135" s="125"/>
      <c r="D135" s="125"/>
      <c r="E135" s="26"/>
      <c r="F135" s="26"/>
      <c r="G135" s="26"/>
      <c r="H135" s="26"/>
      <c r="I135" s="26"/>
      <c r="J135" s="26"/>
      <c r="K135" s="26"/>
      <c r="L135" s="26"/>
      <c r="M135" s="26"/>
      <c r="N135" s="26"/>
      <c r="O135" s="26"/>
      <c r="P135" s="26"/>
      <c r="Q135" s="26"/>
      <c r="R135" s="26"/>
      <c r="S135" s="26"/>
      <c r="T135" s="125">
        <v>21.499999999374268</v>
      </c>
      <c r="U135" s="125">
        <v>7.0443482628135943</v>
      </c>
      <c r="V135" s="125">
        <v>8.461026672070604E-2</v>
      </c>
      <c r="W135" s="125">
        <v>-2.6695365919343406E-2</v>
      </c>
    </row>
    <row r="136" spans="1:23">
      <c r="A136" s="6"/>
      <c r="B136" s="6"/>
      <c r="C136" s="125"/>
      <c r="D136" s="125"/>
      <c r="E136" s="26"/>
      <c r="F136" s="26"/>
      <c r="G136" s="26"/>
      <c r="H136" s="26"/>
      <c r="I136" s="26"/>
      <c r="J136" s="26"/>
      <c r="K136" s="26"/>
      <c r="L136" s="26"/>
      <c r="M136" s="26"/>
      <c r="N136" s="26"/>
      <c r="O136" s="26"/>
      <c r="P136" s="26"/>
      <c r="Q136" s="26"/>
      <c r="R136" s="26"/>
      <c r="S136" s="26"/>
      <c r="T136" s="125">
        <v>21.666666666036086</v>
      </c>
      <c r="U136" s="125">
        <v>7.0576779320623269</v>
      </c>
      <c r="V136" s="125">
        <v>7.5148829955706792E-2</v>
      </c>
      <c r="W136" s="125">
        <v>-3.0069882585665741E-2</v>
      </c>
    </row>
    <row r="137" spans="1:23">
      <c r="A137" s="6"/>
      <c r="B137" s="6"/>
      <c r="C137" s="125"/>
      <c r="D137" s="125"/>
      <c r="E137" s="26"/>
      <c r="F137" s="26"/>
      <c r="G137" s="26"/>
      <c r="H137" s="26"/>
      <c r="I137" s="26"/>
      <c r="J137" s="26"/>
      <c r="K137" s="26"/>
      <c r="L137" s="26"/>
      <c r="M137" s="26"/>
      <c r="N137" s="26"/>
      <c r="O137" s="26"/>
      <c r="P137" s="26"/>
      <c r="Q137" s="26"/>
      <c r="R137" s="26"/>
      <c r="S137" s="26"/>
      <c r="T137" s="125">
        <v>21.833333332697901</v>
      </c>
      <c r="U137" s="125">
        <v>7.0693370523900931</v>
      </c>
      <c r="V137" s="125">
        <v>6.4562554829553045E-2</v>
      </c>
      <c r="W137" s="125">
        <v>-3.3444399251946443E-2</v>
      </c>
    </row>
    <row r="138" spans="1:23">
      <c r="A138" s="6"/>
      <c r="B138" s="6"/>
      <c r="C138" s="125"/>
      <c r="D138" s="125"/>
      <c r="E138" s="26"/>
      <c r="F138" s="26"/>
      <c r="G138" s="26"/>
      <c r="H138" s="26"/>
      <c r="I138" s="26"/>
      <c r="J138" s="26"/>
      <c r="K138" s="26"/>
      <c r="L138" s="26"/>
      <c r="M138" s="26"/>
      <c r="N138" s="26"/>
      <c r="O138" s="26"/>
      <c r="P138" s="26"/>
      <c r="Q138" s="26"/>
      <c r="R138" s="26"/>
      <c r="S138" s="26"/>
      <c r="T138" s="125">
        <v>21.999999999359716</v>
      </c>
      <c r="U138" s="125">
        <v>7.0791381507361422</v>
      </c>
      <c r="V138" s="125">
        <v>5.285144133691573E-2</v>
      </c>
      <c r="W138" s="125">
        <v>-3.6818915918268781E-2</v>
      </c>
    </row>
    <row r="139" spans="1:23">
      <c r="A139" s="6"/>
      <c r="B139" s="6"/>
      <c r="C139" s="125"/>
      <c r="D139" s="125"/>
      <c r="E139" s="26"/>
      <c r="F139" s="26"/>
      <c r="G139" s="26"/>
      <c r="H139" s="26"/>
      <c r="I139" s="26"/>
      <c r="J139" s="26"/>
      <c r="K139" s="26"/>
      <c r="L139" s="26"/>
      <c r="M139" s="26"/>
      <c r="N139" s="26"/>
      <c r="O139" s="26"/>
      <c r="P139" s="26"/>
      <c r="Q139" s="26"/>
      <c r="R139" s="26"/>
      <c r="S139" s="26"/>
      <c r="T139" s="125">
        <v>22.166666666021534</v>
      </c>
      <c r="U139" s="125">
        <v>7.0868937540397248</v>
      </c>
      <c r="V139" s="125">
        <v>4.0015489483123917E-2</v>
      </c>
      <c r="W139" s="125">
        <v>-4.0193416597358748E-2</v>
      </c>
    </row>
    <row r="140" spans="1:23">
      <c r="A140" s="6"/>
      <c r="B140" s="6"/>
      <c r="C140" s="125"/>
      <c r="D140" s="125"/>
      <c r="E140" s="26"/>
      <c r="F140" s="26"/>
      <c r="G140" s="26"/>
      <c r="H140" s="26"/>
      <c r="I140" s="26"/>
      <c r="J140" s="26"/>
      <c r="K140" s="26"/>
      <c r="L140" s="26"/>
      <c r="M140" s="26"/>
      <c r="N140" s="26"/>
      <c r="O140" s="26"/>
      <c r="P140" s="26"/>
      <c r="Q140" s="26"/>
      <c r="R140" s="26"/>
      <c r="S140" s="26"/>
      <c r="T140" s="125">
        <v>22.333333332683349</v>
      </c>
      <c r="U140" s="125">
        <v>7.0924694186630903</v>
      </c>
      <c r="V140" s="125">
        <v>2.7419718651076938E-2</v>
      </c>
      <c r="W140" s="125">
        <v>-3.1889099362992029E-2</v>
      </c>
    </row>
    <row r="141" spans="1:23">
      <c r="A141" s="6"/>
      <c r="B141" s="6"/>
      <c r="C141" s="125"/>
      <c r="D141" s="125"/>
      <c r="E141" s="26"/>
      <c r="F141" s="26"/>
      <c r="G141" s="26"/>
      <c r="H141" s="26"/>
      <c r="I141" s="26"/>
      <c r="J141" s="26"/>
      <c r="K141" s="26"/>
      <c r="L141" s="26"/>
      <c r="M141" s="26"/>
      <c r="N141" s="26"/>
      <c r="O141" s="26"/>
      <c r="P141" s="26"/>
      <c r="Q141" s="26"/>
      <c r="R141" s="26"/>
      <c r="S141" s="26"/>
      <c r="T141" s="125">
        <v>22.499999999345164</v>
      </c>
      <c r="U141" s="125">
        <v>7.0962776239183496</v>
      </c>
      <c r="V141" s="125">
        <v>1.9009383513178067E-2</v>
      </c>
      <c r="W141" s="125">
        <v>-1.8586188589269886E-2</v>
      </c>
    </row>
    <row r="142" spans="1:23">
      <c r="A142" s="6"/>
      <c r="B142" s="6"/>
      <c r="C142" s="125"/>
      <c r="D142" s="125"/>
      <c r="E142" s="26"/>
      <c r="F142" s="26"/>
      <c r="G142" s="26"/>
      <c r="H142" s="26"/>
      <c r="I142" s="26"/>
      <c r="J142" s="26"/>
      <c r="K142" s="26"/>
      <c r="L142" s="26"/>
      <c r="M142" s="26"/>
      <c r="N142" s="26"/>
      <c r="O142" s="26"/>
      <c r="P142" s="26"/>
      <c r="Q142" s="26"/>
      <c r="R142" s="26"/>
      <c r="S142" s="26"/>
      <c r="T142" s="125">
        <v>22.666666666006982</v>
      </c>
      <c r="U142" s="125">
        <v>7.0990532622106466</v>
      </c>
      <c r="V142" s="125">
        <v>1.5033349392450478E-2</v>
      </c>
      <c r="W142" s="125">
        <v>-5.2833097899656466E-3</v>
      </c>
    </row>
    <row r="143" spans="1:23">
      <c r="A143" s="6"/>
      <c r="B143" s="6"/>
      <c r="C143" s="125"/>
      <c r="D143" s="125"/>
      <c r="E143" s="26"/>
      <c r="F143" s="26"/>
      <c r="G143" s="26"/>
      <c r="H143" s="26"/>
      <c r="I143" s="26"/>
      <c r="J143" s="26"/>
      <c r="K143" s="26"/>
      <c r="L143" s="26"/>
      <c r="M143" s="26"/>
      <c r="N143" s="26"/>
      <c r="O143" s="26"/>
      <c r="P143" s="26"/>
      <c r="Q143" s="26"/>
      <c r="R143" s="26"/>
      <c r="S143" s="26"/>
      <c r="T143" s="125">
        <v>22.833333332668797</v>
      </c>
      <c r="U143" s="125">
        <v>7.1015353837108615</v>
      </c>
      <c r="V143" s="125">
        <v>1.5491616304881385E-2</v>
      </c>
      <c r="W143" s="125">
        <v>8.0195849965449435E-3</v>
      </c>
    </row>
    <row r="144" spans="1:23">
      <c r="A144" s="6"/>
      <c r="B144" s="6"/>
      <c r="C144" s="125"/>
      <c r="D144" s="125"/>
      <c r="E144" s="26"/>
      <c r="F144" s="26"/>
      <c r="G144" s="26"/>
      <c r="H144" s="26"/>
      <c r="I144" s="26"/>
      <c r="J144" s="26"/>
      <c r="K144" s="26"/>
      <c r="L144" s="26"/>
      <c r="M144" s="26"/>
      <c r="N144" s="26"/>
      <c r="O144" s="26"/>
      <c r="P144" s="26"/>
      <c r="Q144" s="26"/>
      <c r="R144" s="26"/>
      <c r="S144" s="26"/>
      <c r="T144" s="125">
        <v>22.999999999330612</v>
      </c>
      <c r="U144" s="125">
        <v>7.1044630385898753</v>
      </c>
      <c r="V144" s="125">
        <v>2.0384184245141719E-2</v>
      </c>
      <c r="W144" s="125">
        <v>2.1322511757473437E-2</v>
      </c>
    </row>
    <row r="145" spans="1:23">
      <c r="A145" s="6"/>
      <c r="B145" s="6"/>
      <c r="C145" s="125"/>
      <c r="D145" s="125"/>
      <c r="E145" s="26"/>
      <c r="F145" s="26"/>
      <c r="G145" s="26"/>
      <c r="H145" s="26"/>
      <c r="I145" s="26"/>
      <c r="J145" s="26"/>
      <c r="K145" s="26"/>
      <c r="L145" s="26"/>
      <c r="M145" s="26"/>
      <c r="N145" s="26"/>
      <c r="O145" s="26"/>
      <c r="P145" s="26"/>
      <c r="Q145" s="26"/>
      <c r="R145" s="26"/>
      <c r="S145" s="26"/>
      <c r="T145" s="125">
        <v>23.16666666599243</v>
      </c>
      <c r="U145" s="125">
        <v>7.1085752770185691</v>
      </c>
      <c r="V145" s="125">
        <v>2.9711053207902408E-2</v>
      </c>
      <c r="W145" s="125">
        <v>3.4625422531205992E-2</v>
      </c>
    </row>
    <row r="146" spans="1:23">
      <c r="A146" s="6"/>
      <c r="B146" s="6"/>
      <c r="C146" s="125"/>
      <c r="D146" s="125"/>
      <c r="E146" s="26"/>
      <c r="F146" s="26"/>
      <c r="G146" s="26"/>
      <c r="H146" s="26"/>
      <c r="I146" s="26"/>
      <c r="J146" s="26"/>
      <c r="K146" s="26"/>
      <c r="L146" s="26"/>
      <c r="M146" s="26"/>
      <c r="N146" s="26"/>
      <c r="O146" s="26"/>
      <c r="P146" s="26"/>
      <c r="Q146" s="26"/>
      <c r="R146" s="26"/>
      <c r="S146" s="26"/>
      <c r="T146" s="125">
        <v>23.333333332654245</v>
      </c>
      <c r="U146" s="125">
        <v>7.1146111491678239</v>
      </c>
      <c r="V146" s="125">
        <v>4.3472223193163455E-2</v>
      </c>
      <c r="W146" s="125">
        <v>4.792831731771658E-2</v>
      </c>
    </row>
    <row r="147" spans="1:23">
      <c r="A147" s="6"/>
      <c r="B147" s="6"/>
      <c r="C147" s="125"/>
      <c r="D147" s="125"/>
      <c r="E147" s="26"/>
      <c r="F147" s="26"/>
      <c r="G147" s="26"/>
      <c r="H147" s="26"/>
      <c r="I147" s="26"/>
      <c r="J147" s="26"/>
      <c r="K147" s="26"/>
      <c r="L147" s="26"/>
      <c r="M147" s="26"/>
      <c r="N147" s="26"/>
      <c r="O147" s="26"/>
      <c r="P147" s="26"/>
      <c r="Q147" s="26"/>
      <c r="R147" s="26"/>
      <c r="S147" s="26"/>
      <c r="T147" s="125">
        <v>23.49999999931606</v>
      </c>
      <c r="U147" s="125">
        <v>7.1233097052085208</v>
      </c>
      <c r="V147" s="125">
        <v>6.1667694200924855E-2</v>
      </c>
      <c r="W147" s="125">
        <v>6.1231212104237577E-2</v>
      </c>
    </row>
    <row r="148" spans="1:23">
      <c r="A148" s="6"/>
      <c r="B148" s="6"/>
      <c r="C148" s="125"/>
      <c r="D148" s="125"/>
      <c r="E148" s="26"/>
      <c r="F148" s="26"/>
      <c r="G148" s="26"/>
      <c r="H148" s="26"/>
      <c r="I148" s="26"/>
      <c r="J148" s="26"/>
      <c r="K148" s="26"/>
      <c r="L148" s="26"/>
      <c r="M148" s="26"/>
      <c r="N148" s="26"/>
      <c r="O148" s="26"/>
      <c r="P148" s="26"/>
      <c r="Q148" s="26"/>
      <c r="R148" s="26"/>
      <c r="S148" s="26"/>
      <c r="T148" s="125">
        <v>23.666666665977878</v>
      </c>
      <c r="U148" s="125">
        <v>7.13540999531154</v>
      </c>
      <c r="V148" s="125">
        <v>8.4297466241844754E-2</v>
      </c>
      <c r="W148" s="125">
        <v>7.4534122877949319E-2</v>
      </c>
    </row>
    <row r="149" spans="1:23">
      <c r="A149" s="6"/>
      <c r="B149" s="6"/>
      <c r="C149" s="125"/>
      <c r="D149" s="125"/>
      <c r="E149" s="26"/>
      <c r="F149" s="26"/>
      <c r="G149" s="26"/>
      <c r="H149" s="26"/>
      <c r="I149" s="26"/>
      <c r="J149" s="26"/>
      <c r="K149" s="26"/>
      <c r="L149" s="26"/>
      <c r="M149" s="26"/>
      <c r="N149" s="26"/>
      <c r="O149" s="26"/>
      <c r="P149" s="26"/>
      <c r="Q149" s="26"/>
      <c r="R149" s="26"/>
      <c r="S149" s="26"/>
      <c r="T149" s="125">
        <v>23.833333332639693</v>
      </c>
      <c r="U149" s="125">
        <v>7.1516510696477624</v>
      </c>
      <c r="V149" s="125">
        <v>0.111361539305265</v>
      </c>
      <c r="W149" s="125">
        <v>8.7837017664449499E-2</v>
      </c>
    </row>
    <row r="150" spans="1:23">
      <c r="A150" s="6"/>
      <c r="B150" s="6"/>
      <c r="C150" s="125"/>
      <c r="D150" s="125"/>
      <c r="E150" s="26"/>
      <c r="F150" s="26"/>
      <c r="G150" s="26"/>
      <c r="H150" s="26"/>
      <c r="I150" s="26"/>
      <c r="J150" s="26"/>
      <c r="K150" s="26"/>
      <c r="L150" s="26"/>
      <c r="M150" s="26"/>
      <c r="N150" s="26"/>
      <c r="O150" s="26"/>
      <c r="P150" s="26"/>
      <c r="Q150" s="26"/>
      <c r="R150" s="26"/>
      <c r="S150" s="26"/>
      <c r="T150" s="125">
        <v>23.999999999301508</v>
      </c>
      <c r="U150" s="125">
        <v>7.1727581087384138</v>
      </c>
      <c r="V150" s="125">
        <v>0.14214801707326952</v>
      </c>
      <c r="W150" s="125">
        <v>8.9028976196402293E-2</v>
      </c>
    </row>
    <row r="151" spans="1:23">
      <c r="A151" s="6"/>
      <c r="B151" s="6"/>
      <c r="C151" s="125"/>
      <c r="D151" s="125"/>
      <c r="E151" s="26"/>
      <c r="F151" s="26"/>
      <c r="G151" s="26"/>
      <c r="H151" s="26"/>
      <c r="I151" s="26"/>
      <c r="J151" s="26"/>
      <c r="K151" s="26"/>
      <c r="L151" s="26"/>
      <c r="M151" s="26"/>
      <c r="N151" s="26"/>
      <c r="O151" s="26"/>
      <c r="P151" s="26"/>
      <c r="Q151" s="26"/>
      <c r="R151" s="26"/>
      <c r="S151" s="26"/>
      <c r="T151" s="125">
        <v>24.166666665963326</v>
      </c>
      <c r="U151" s="125">
        <v>7.1987243150723135</v>
      </c>
      <c r="V151" s="125">
        <v>0.1682985061282192</v>
      </c>
      <c r="W151" s="125">
        <v>6.7895113535309887E-2</v>
      </c>
    </row>
    <row r="152" spans="1:23">
      <c r="A152" s="6"/>
      <c r="B152" s="6"/>
      <c r="C152" s="125"/>
      <c r="D152" s="125"/>
      <c r="E152" s="26"/>
      <c r="F152" s="26"/>
      <c r="G152" s="26"/>
      <c r="H152" s="26"/>
      <c r="I152" s="26"/>
      <c r="J152" s="26"/>
      <c r="K152" s="26"/>
      <c r="L152" s="26"/>
      <c r="M152" s="26"/>
      <c r="N152" s="26"/>
      <c r="O152" s="26"/>
      <c r="P152" s="26"/>
      <c r="Q152" s="26"/>
      <c r="R152" s="26"/>
      <c r="S152" s="26"/>
      <c r="T152" s="125">
        <v>24.333333332625141</v>
      </c>
      <c r="U152" s="125">
        <v>7.2284624710611984</v>
      </c>
      <c r="V152" s="125">
        <v>0.1874043683064571</v>
      </c>
      <c r="W152" s="125">
        <v>4.6761202912499536E-2</v>
      </c>
    </row>
    <row r="153" spans="1:23">
      <c r="A153" s="6"/>
      <c r="B153" s="6"/>
      <c r="C153" s="125"/>
      <c r="D153" s="125"/>
      <c r="E153" s="26"/>
      <c r="F153" s="26"/>
      <c r="G153" s="26"/>
      <c r="H153" s="26"/>
      <c r="I153" s="26"/>
      <c r="J153" s="26"/>
      <c r="K153" s="26"/>
      <c r="L153" s="26"/>
      <c r="M153" s="26"/>
      <c r="N153" s="26"/>
      <c r="O153" s="26"/>
      <c r="P153" s="26"/>
      <c r="Q153" s="26"/>
      <c r="R153" s="26"/>
      <c r="S153" s="26"/>
      <c r="T153" s="125">
        <v>24.499999999286956</v>
      </c>
      <c r="U153" s="125">
        <v>7.2607984722262389</v>
      </c>
      <c r="V153" s="125">
        <v>0.19946560361331228</v>
      </c>
      <c r="W153" s="125">
        <v>2.5627324264195565E-2</v>
      </c>
    </row>
    <row r="154" spans="1:23">
      <c r="A154" s="6"/>
      <c r="B154" s="6"/>
      <c r="C154" s="125"/>
      <c r="D154" s="125"/>
      <c r="E154" s="26"/>
      <c r="F154" s="26"/>
      <c r="G154" s="26"/>
      <c r="H154" s="26"/>
      <c r="I154" s="26"/>
      <c r="J154" s="26"/>
      <c r="K154" s="26"/>
      <c r="L154" s="26"/>
      <c r="M154" s="26"/>
      <c r="N154" s="26"/>
      <c r="O154" s="26"/>
      <c r="P154" s="26"/>
      <c r="Q154" s="26"/>
      <c r="R154" s="26"/>
      <c r="S154" s="26"/>
      <c r="T154" s="125">
        <v>24.666666665948775</v>
      </c>
      <c r="U154" s="125">
        <v>7.2945582140886085</v>
      </c>
      <c r="V154" s="125">
        <v>0.20448221204878475</v>
      </c>
      <c r="W154" s="125">
        <v>4.4934456158083249E-3</v>
      </c>
    </row>
    <row r="155" spans="1:23">
      <c r="A155" s="6"/>
      <c r="B155" s="6"/>
      <c r="C155" s="125"/>
      <c r="D155" s="125"/>
      <c r="E155" s="26"/>
      <c r="F155" s="26"/>
      <c r="G155" s="26"/>
      <c r="H155" s="26"/>
      <c r="I155" s="26"/>
      <c r="J155" s="26"/>
      <c r="K155" s="26"/>
      <c r="L155" s="26"/>
      <c r="M155" s="26"/>
      <c r="N155" s="26"/>
      <c r="O155" s="26"/>
      <c r="P155" s="26"/>
      <c r="Q155" s="26"/>
      <c r="R155" s="26"/>
      <c r="S155" s="26"/>
      <c r="T155" s="125">
        <v>24.833333332610589</v>
      </c>
      <c r="U155" s="125">
        <v>7.3285675921694766</v>
      </c>
      <c r="V155" s="125">
        <v>0.20245419360754546</v>
      </c>
      <c r="W155" s="125">
        <v>-1.6640433032495645E-2</v>
      </c>
    </row>
    <row r="156" spans="1:23">
      <c r="A156" s="6"/>
      <c r="B156" s="6"/>
      <c r="C156" s="125"/>
      <c r="D156" s="125"/>
      <c r="E156" s="26"/>
      <c r="F156" s="26"/>
      <c r="G156" s="26"/>
      <c r="H156" s="26"/>
      <c r="I156" s="26"/>
      <c r="J156" s="26"/>
      <c r="K156" s="26"/>
      <c r="L156" s="26"/>
      <c r="M156" s="26"/>
      <c r="N156" s="26"/>
      <c r="O156" s="26"/>
      <c r="P156" s="26"/>
      <c r="Q156" s="26"/>
      <c r="R156" s="26"/>
      <c r="S156" s="26"/>
      <c r="T156" s="125">
        <v>24.999999999272404</v>
      </c>
      <c r="U156" s="125">
        <v>7.3616525019900161</v>
      </c>
      <c r="V156" s="125">
        <v>0.1933815483002525</v>
      </c>
      <c r="W156" s="125">
        <v>-3.7774295693671328E-2</v>
      </c>
    </row>
    <row r="157" spans="1:23">
      <c r="A157" s="6"/>
      <c r="B157" s="6"/>
      <c r="C157" s="125"/>
      <c r="D157" s="125"/>
      <c r="E157" s="26"/>
      <c r="F157" s="26"/>
      <c r="G157" s="26"/>
      <c r="H157" s="26"/>
      <c r="I157" s="26"/>
      <c r="J157" s="26"/>
      <c r="K157" s="26"/>
      <c r="L157" s="26"/>
      <c r="M157" s="26"/>
      <c r="N157" s="26"/>
      <c r="O157" s="26"/>
      <c r="P157" s="26"/>
      <c r="Q157" s="26"/>
      <c r="R157" s="26"/>
      <c r="S157" s="26"/>
      <c r="T157" s="125">
        <v>25.166666665934223</v>
      </c>
      <c r="U157" s="125">
        <v>7.3926388390713997</v>
      </c>
      <c r="V157" s="125">
        <v>0.17726427611091872</v>
      </c>
      <c r="W157" s="125">
        <v>-5.8908190329186857E-2</v>
      </c>
    </row>
    <row r="158" spans="1:23">
      <c r="A158" s="6"/>
      <c r="B158" s="6"/>
      <c r="C158" s="125"/>
      <c r="D158" s="125"/>
      <c r="E158" s="26"/>
      <c r="F158" s="26"/>
      <c r="G158" s="26"/>
      <c r="H158" s="26"/>
      <c r="I158" s="26"/>
      <c r="J158" s="26"/>
      <c r="K158" s="26"/>
      <c r="L158" s="26"/>
      <c r="M158" s="26"/>
      <c r="N158" s="26"/>
      <c r="O158" s="26"/>
      <c r="P158" s="26"/>
      <c r="Q158" s="26"/>
      <c r="R158" s="26"/>
      <c r="S158" s="26"/>
      <c r="T158" s="125">
        <v>25.333333332596037</v>
      </c>
      <c r="U158" s="125">
        <v>7.4203524989347978</v>
      </c>
      <c r="V158" s="125">
        <v>0.15410237705553129</v>
      </c>
      <c r="W158" s="125">
        <v>-8.0042068977490832E-2</v>
      </c>
    </row>
    <row r="159" spans="1:23">
      <c r="A159" s="6"/>
      <c r="B159" s="6"/>
      <c r="C159" s="125"/>
      <c r="D159" s="125"/>
      <c r="E159" s="26"/>
      <c r="F159" s="26"/>
      <c r="G159" s="26"/>
      <c r="H159" s="26"/>
      <c r="I159" s="26"/>
      <c r="J159" s="26"/>
      <c r="K159" s="26"/>
      <c r="L159" s="26"/>
      <c r="M159" s="26"/>
      <c r="N159" s="26"/>
      <c r="O159" s="26"/>
      <c r="P159" s="26"/>
      <c r="Q159" s="26"/>
      <c r="R159" s="26"/>
      <c r="S159" s="26"/>
      <c r="T159" s="125">
        <v>25.499999999257852</v>
      </c>
      <c r="U159" s="125">
        <v>7.4436693975898596</v>
      </c>
      <c r="V159" s="125">
        <v>0.12575507696876606</v>
      </c>
      <c r="W159" s="125">
        <v>-7.8235306238017985E-2</v>
      </c>
    </row>
    <row r="160" spans="1:23">
      <c r="A160" s="6"/>
      <c r="B160" s="6"/>
      <c r="C160" s="125"/>
      <c r="D160" s="125"/>
      <c r="E160" s="26"/>
      <c r="F160" s="26"/>
      <c r="G160" s="26"/>
      <c r="H160" s="26"/>
      <c r="I160" s="26"/>
      <c r="J160" s="26"/>
      <c r="K160" s="26"/>
      <c r="L160" s="26"/>
      <c r="M160" s="26"/>
      <c r="N160" s="26"/>
      <c r="O160" s="26"/>
      <c r="P160" s="26"/>
      <c r="Q160" s="26"/>
      <c r="R160" s="26"/>
      <c r="S160" s="26"/>
      <c r="T160" s="125">
        <v>25.666666665919671</v>
      </c>
      <c r="U160" s="125">
        <v>7.4626995860586129</v>
      </c>
      <c r="V160" s="125">
        <v>0.10403769790504311</v>
      </c>
      <c r="W160" s="125">
        <v>-5.2095144201475693E-2</v>
      </c>
    </row>
    <row r="161" spans="1:23">
      <c r="A161" s="6"/>
      <c r="B161" s="6"/>
      <c r="C161" s="125"/>
      <c r="D161" s="125"/>
      <c r="E161" s="26"/>
      <c r="F161" s="26"/>
      <c r="G161" s="26"/>
      <c r="H161" s="26"/>
      <c r="I161" s="26"/>
      <c r="J161" s="26"/>
      <c r="K161" s="26"/>
      <c r="L161" s="26"/>
      <c r="M161" s="26"/>
      <c r="N161" s="26"/>
      <c r="O161" s="26"/>
      <c r="P161" s="26"/>
      <c r="Q161" s="26"/>
      <c r="R161" s="26"/>
      <c r="S161" s="26"/>
      <c r="T161" s="125">
        <v>25.833333332581486</v>
      </c>
      <c r="U161" s="125">
        <v>7.4788356012739374</v>
      </c>
      <c r="V161" s="125">
        <v>9.1033711318451602E-2</v>
      </c>
      <c r="W161" s="125">
        <v>-2.5954950190593563E-2</v>
      </c>
    </row>
    <row r="162" spans="1:23">
      <c r="A162" s="6"/>
      <c r="B162" s="6"/>
      <c r="C162" s="125"/>
      <c r="D162" s="125"/>
      <c r="E162" s="26"/>
      <c r="F162" s="26"/>
      <c r="G162" s="26"/>
      <c r="H162" s="26"/>
      <c r="I162" s="26"/>
      <c r="J162" s="26"/>
      <c r="K162" s="26"/>
      <c r="L162" s="26"/>
      <c r="M162" s="26"/>
      <c r="N162" s="26"/>
      <c r="O162" s="26"/>
      <c r="P162" s="26"/>
      <c r="Q162" s="26"/>
      <c r="R162" s="26"/>
      <c r="S162" s="26"/>
      <c r="T162" s="125">
        <v>25.9999999992433</v>
      </c>
      <c r="U162" s="125">
        <v>7.4935296753140985</v>
      </c>
      <c r="V162" s="125">
        <v>8.67431171983334E-2</v>
      </c>
      <c r="W162" s="125">
        <v>1.8522783307701253E-4</v>
      </c>
    </row>
    <row r="163" spans="1:23">
      <c r="A163" s="6"/>
      <c r="B163" s="6"/>
      <c r="C163" s="125"/>
      <c r="D163" s="125"/>
      <c r="E163" s="26"/>
      <c r="F163" s="26"/>
      <c r="G163" s="26"/>
      <c r="H163" s="26"/>
      <c r="I163" s="26"/>
      <c r="J163" s="26"/>
      <c r="K163" s="26"/>
      <c r="L163" s="26"/>
      <c r="M163" s="26"/>
      <c r="N163" s="26"/>
      <c r="O163" s="26"/>
      <c r="P163" s="26"/>
      <c r="Q163" s="26"/>
      <c r="R163" s="26"/>
      <c r="S163" s="26"/>
      <c r="T163" s="125">
        <v>26.166666665905119</v>
      </c>
      <c r="U163" s="125">
        <v>7.5082340402573609</v>
      </c>
      <c r="V163" s="125">
        <v>9.1165915550017573E-2</v>
      </c>
      <c r="W163" s="125">
        <v>2.6325405856747589E-2</v>
      </c>
    </row>
    <row r="164" spans="1:23">
      <c r="A164" s="6"/>
      <c r="B164" s="6"/>
      <c r="C164" s="125"/>
      <c r="D164" s="125"/>
      <c r="E164" s="26"/>
      <c r="F164" s="26"/>
      <c r="G164" s="26"/>
      <c r="H164" s="26"/>
      <c r="I164" s="26"/>
      <c r="J164" s="26"/>
      <c r="K164" s="26"/>
      <c r="L164" s="26"/>
      <c r="M164" s="26"/>
      <c r="N164" s="26"/>
      <c r="O164" s="26"/>
      <c r="P164" s="26"/>
      <c r="Q164" s="26"/>
      <c r="R164" s="26"/>
      <c r="S164" s="26"/>
      <c r="T164" s="125">
        <v>26.333333332566934</v>
      </c>
      <c r="U164" s="125">
        <v>7.5244009281819881</v>
      </c>
      <c r="V164" s="125">
        <v>0.10430210636817505</v>
      </c>
      <c r="W164" s="125">
        <v>5.2465583880418165E-2</v>
      </c>
    </row>
    <row r="165" spans="1:23">
      <c r="A165" s="6"/>
      <c r="B165" s="6"/>
      <c r="C165" s="125"/>
      <c r="D165" s="125"/>
      <c r="E165" s="26"/>
      <c r="F165" s="26"/>
      <c r="G165" s="26"/>
      <c r="H165" s="26"/>
      <c r="I165" s="26"/>
      <c r="J165" s="26"/>
      <c r="K165" s="26"/>
      <c r="L165" s="26"/>
      <c r="M165" s="26"/>
      <c r="N165" s="26"/>
      <c r="O165" s="26"/>
      <c r="P165" s="26"/>
      <c r="Q165" s="26"/>
      <c r="R165" s="26"/>
      <c r="S165" s="26"/>
      <c r="T165" s="125">
        <v>26.499999999228748</v>
      </c>
      <c r="U165" s="125">
        <v>7.543482571166245</v>
      </c>
      <c r="V165" s="125">
        <v>0.12615168965813492</v>
      </c>
      <c r="W165" s="125">
        <v>7.8605761904088745E-2</v>
      </c>
    </row>
    <row r="166" spans="1:23">
      <c r="A166" s="6"/>
      <c r="B166" s="6"/>
      <c r="C166" s="125"/>
      <c r="D166" s="125"/>
      <c r="E166" s="26"/>
      <c r="F166" s="26"/>
      <c r="G166" s="26"/>
      <c r="H166" s="26"/>
      <c r="I166" s="26"/>
      <c r="J166" s="26"/>
      <c r="K166" s="26"/>
      <c r="L166" s="26"/>
      <c r="M166" s="26"/>
      <c r="N166" s="26"/>
      <c r="O166" s="26"/>
      <c r="P166" s="26"/>
      <c r="Q166" s="26"/>
      <c r="R166" s="26"/>
      <c r="S166" s="26"/>
      <c r="T166" s="125">
        <v>26.666666665890567</v>
      </c>
      <c r="U166" s="125">
        <v>7.5669201369895633</v>
      </c>
      <c r="V166" s="125">
        <v>0.1560222500095354</v>
      </c>
      <c r="W166" s="125">
        <v>9.0401590218885733E-2</v>
      </c>
    </row>
    <row r="167" spans="1:23">
      <c r="A167" s="6"/>
      <c r="B167" s="6"/>
      <c r="C167" s="125"/>
      <c r="D167" s="125"/>
      <c r="E167" s="26"/>
      <c r="F167" s="26"/>
      <c r="G167" s="26"/>
      <c r="H167" s="26"/>
      <c r="I167" s="26"/>
      <c r="J167" s="26"/>
      <c r="K167" s="26"/>
      <c r="L167" s="26"/>
      <c r="M167" s="26"/>
      <c r="N167" s="26"/>
      <c r="O167" s="26"/>
      <c r="P167" s="26"/>
      <c r="Q167" s="26"/>
      <c r="R167" s="26"/>
      <c r="S167" s="26"/>
      <c r="T167" s="125">
        <v>26.833333332552382</v>
      </c>
      <c r="U167" s="125">
        <v>7.5952143533813015</v>
      </c>
      <c r="V167" s="125">
        <v>0.18222573144297197</v>
      </c>
      <c r="W167" s="125">
        <v>6.6842851257966893E-2</v>
      </c>
    </row>
    <row r="168" spans="1:23">
      <c r="A168" s="6"/>
      <c r="B168" s="6"/>
      <c r="C168" s="125"/>
      <c r="D168" s="125"/>
      <c r="E168" s="26"/>
      <c r="F168" s="26"/>
      <c r="G168" s="26"/>
      <c r="H168" s="26"/>
      <c r="I168" s="26"/>
      <c r="J168" s="26"/>
      <c r="K168" s="26"/>
      <c r="L168" s="26"/>
      <c r="M168" s="26"/>
      <c r="N168" s="26"/>
      <c r="O168" s="26"/>
      <c r="P168" s="26"/>
      <c r="Q168" s="26"/>
      <c r="R168" s="26"/>
      <c r="S168" s="26"/>
      <c r="T168" s="125">
        <v>26.999999999214197</v>
      </c>
      <c r="U168" s="125">
        <v>7.6272220610639767</v>
      </c>
      <c r="V168" s="125">
        <v>0.20057629258347418</v>
      </c>
      <c r="W168" s="125">
        <v>4.3284080322541676E-2</v>
      </c>
    </row>
    <row r="169" spans="1:23">
      <c r="A169" s="6"/>
      <c r="B169" s="6"/>
      <c r="C169" s="125"/>
      <c r="D169" s="125"/>
      <c r="E169" s="26"/>
      <c r="F169" s="26"/>
      <c r="G169" s="26"/>
      <c r="H169" s="26"/>
      <c r="I169" s="26"/>
      <c r="J169" s="26"/>
      <c r="K169" s="26"/>
      <c r="L169" s="26"/>
      <c r="M169" s="26"/>
      <c r="N169" s="26"/>
      <c r="O169" s="26"/>
      <c r="P169" s="26"/>
      <c r="Q169" s="26"/>
      <c r="R169" s="26"/>
      <c r="S169" s="26"/>
      <c r="T169" s="125">
        <v>27.166666665876015</v>
      </c>
      <c r="U169" s="125">
        <v>7.6616344399895135</v>
      </c>
      <c r="V169" s="125">
        <v>0.2110739334363711</v>
      </c>
      <c r="W169" s="125">
        <v>1.972530938703319E-2</v>
      </c>
    </row>
    <row r="170" spans="1:23">
      <c r="A170" s="6"/>
      <c r="B170" s="6"/>
      <c r="C170" s="125"/>
      <c r="D170" s="125"/>
      <c r="E170" s="26"/>
      <c r="F170" s="26"/>
      <c r="G170" s="26"/>
      <c r="H170" s="26"/>
      <c r="I170" s="26"/>
      <c r="J170" s="26"/>
      <c r="K170" s="26"/>
      <c r="L170" s="26"/>
      <c r="M170" s="26"/>
      <c r="N170" s="26"/>
      <c r="O170" s="26"/>
      <c r="P170" s="26"/>
      <c r="Q170" s="26"/>
      <c r="R170" s="26"/>
      <c r="S170" s="26"/>
      <c r="T170" s="125">
        <v>27.33333333253783</v>
      </c>
      <c r="U170" s="125">
        <v>7.6971426701098338</v>
      </c>
      <c r="V170" s="125">
        <v>0.21371865400166276</v>
      </c>
      <c r="W170" s="125">
        <v>-3.8334295740521836E-3</v>
      </c>
    </row>
    <row r="171" spans="1:23">
      <c r="A171" s="6"/>
      <c r="B171" s="6"/>
      <c r="C171" s="125"/>
      <c r="D171" s="125"/>
      <c r="E171" s="26"/>
      <c r="F171" s="26"/>
      <c r="G171" s="26"/>
      <c r="H171" s="26"/>
      <c r="I171" s="26"/>
      <c r="J171" s="26"/>
      <c r="K171" s="26"/>
      <c r="L171" s="26"/>
      <c r="M171" s="26"/>
      <c r="N171" s="26"/>
      <c r="O171" s="26"/>
      <c r="P171" s="26"/>
      <c r="Q171" s="26"/>
      <c r="R171" s="26"/>
      <c r="S171" s="26"/>
      <c r="T171" s="125">
        <v>27.499999999199645</v>
      </c>
      <c r="U171" s="125">
        <v>7.7324379313768636</v>
      </c>
      <c r="V171" s="125">
        <v>0.20851045427934917</v>
      </c>
      <c r="W171" s="125">
        <v>-2.7392184522265845E-2</v>
      </c>
    </row>
    <row r="172" spans="1:23">
      <c r="A172" s="6"/>
      <c r="B172" s="6"/>
      <c r="C172" s="125"/>
      <c r="D172" s="125"/>
      <c r="E172" s="26"/>
      <c r="F172" s="26"/>
      <c r="G172" s="26"/>
      <c r="H172" s="26"/>
      <c r="I172" s="26"/>
      <c r="J172" s="26"/>
      <c r="K172" s="26"/>
      <c r="L172" s="26"/>
      <c r="M172" s="26"/>
      <c r="N172" s="26"/>
      <c r="O172" s="26"/>
      <c r="P172" s="26"/>
      <c r="Q172" s="26"/>
      <c r="R172" s="26"/>
      <c r="S172" s="26"/>
      <c r="T172" s="125">
        <v>27.666666665861463</v>
      </c>
      <c r="U172" s="125">
        <v>7.7663174100178933</v>
      </c>
      <c r="V172" s="125">
        <v>0.19820119339941178</v>
      </c>
      <c r="W172" s="125">
        <v>-2.7207228471785271E-2</v>
      </c>
    </row>
    <row r="173" spans="1:23">
      <c r="A173" s="6"/>
      <c r="B173" s="6"/>
      <c r="C173" s="125"/>
      <c r="D173" s="125"/>
      <c r="E173" s="26"/>
      <c r="F173" s="26"/>
      <c r="G173" s="26"/>
      <c r="H173" s="26"/>
      <c r="I173" s="26"/>
      <c r="J173" s="26"/>
      <c r="K173" s="26"/>
      <c r="L173" s="26"/>
      <c r="M173" s="26"/>
      <c r="N173" s="26"/>
      <c r="O173" s="26"/>
      <c r="P173" s="26"/>
      <c r="Q173" s="26"/>
      <c r="R173" s="26"/>
      <c r="S173" s="26"/>
      <c r="T173" s="125">
        <v>27.833333332523278</v>
      </c>
      <c r="U173" s="125">
        <v>7.7986944130431031</v>
      </c>
      <c r="V173" s="125">
        <v>0.19090637631813898</v>
      </c>
      <c r="W173" s="125">
        <v>-1.6572311524059503E-2</v>
      </c>
    </row>
    <row r="174" spans="1:23">
      <c r="A174" s="6"/>
      <c r="B174" s="6"/>
      <c r="C174" s="125"/>
      <c r="D174" s="125"/>
      <c r="E174" s="26"/>
      <c r="F174" s="26"/>
      <c r="G174" s="26"/>
      <c r="H174" s="26"/>
      <c r="I174" s="26"/>
      <c r="J174" s="26"/>
      <c r="K174" s="26"/>
      <c r="L174" s="26"/>
      <c r="M174" s="26"/>
      <c r="N174" s="26"/>
      <c r="O174" s="26"/>
      <c r="P174" s="26"/>
      <c r="Q174" s="26"/>
      <c r="R174" s="26"/>
      <c r="S174" s="26"/>
      <c r="T174" s="125">
        <v>27.999999999185093</v>
      </c>
      <c r="U174" s="125">
        <v>7.8301507322134034</v>
      </c>
      <c r="V174" s="125">
        <v>0.18715653211754521</v>
      </c>
      <c r="W174" s="125">
        <v>-5.9373626019106271E-3</v>
      </c>
    </row>
    <row r="175" spans="1:23">
      <c r="A175" s="6"/>
      <c r="B175" s="6"/>
      <c r="C175" s="125"/>
      <c r="D175" s="125"/>
      <c r="E175" s="26"/>
      <c r="F175" s="26"/>
      <c r="G175" s="26"/>
      <c r="H175" s="26"/>
      <c r="I175" s="26"/>
      <c r="J175" s="26"/>
      <c r="K175" s="26"/>
      <c r="L175" s="26"/>
      <c r="M175" s="26"/>
      <c r="N175" s="26"/>
      <c r="O175" s="26"/>
      <c r="P175" s="26"/>
      <c r="Q175" s="26"/>
      <c r="R175" s="26"/>
      <c r="S175" s="26"/>
      <c r="T175" s="125">
        <v>28.166666665846911</v>
      </c>
      <c r="U175" s="125">
        <v>7.8612771963413008</v>
      </c>
      <c r="V175" s="125">
        <v>0.18695166078164327</v>
      </c>
      <c r="W175" s="125">
        <v>4.6975223713087624E-3</v>
      </c>
    </row>
    <row r="176" spans="1:23">
      <c r="A176" s="6"/>
      <c r="B176" s="6"/>
      <c r="C176" s="125"/>
      <c r="D176" s="125"/>
      <c r="E176" s="26"/>
      <c r="F176" s="26"/>
      <c r="G176" s="26"/>
      <c r="H176" s="26"/>
      <c r="I176" s="26"/>
      <c r="J176" s="26"/>
      <c r="K176" s="26"/>
      <c r="L176" s="26"/>
      <c r="M176" s="26"/>
      <c r="N176" s="26"/>
      <c r="O176" s="26"/>
      <c r="P176" s="26"/>
      <c r="Q176" s="26"/>
      <c r="R176" s="26"/>
      <c r="S176" s="26"/>
      <c r="T176" s="125">
        <v>28.333333332508726</v>
      </c>
      <c r="U176" s="125">
        <v>7.8927635297395575</v>
      </c>
      <c r="V176" s="125">
        <v>0.19395199220038553</v>
      </c>
      <c r="W176" s="125">
        <v>6.0303921859662185E-2</v>
      </c>
    </row>
    <row r="177" spans="1:23">
      <c r="A177" s="6"/>
      <c r="B177" s="6"/>
      <c r="C177" s="125"/>
      <c r="D177" s="125"/>
      <c r="E177" s="26"/>
      <c r="F177" s="26"/>
      <c r="G177" s="26"/>
      <c r="H177" s="26"/>
      <c r="I177" s="26"/>
      <c r="J177" s="26"/>
      <c r="K177" s="26"/>
      <c r="L177" s="26"/>
      <c r="M177" s="26"/>
      <c r="N177" s="26"/>
      <c r="O177" s="26"/>
      <c r="P177" s="26"/>
      <c r="Q177" s="26"/>
      <c r="R177" s="26"/>
      <c r="S177" s="26"/>
      <c r="T177" s="125">
        <v>28.499999999170541</v>
      </c>
      <c r="U177" s="125">
        <v>7.9277152071752059</v>
      </c>
      <c r="V177" s="125">
        <v>0.23122287557837556</v>
      </c>
      <c r="W177" s="125">
        <v>0.16321844676764746</v>
      </c>
    </row>
    <row r="178" spans="1:23">
      <c r="A178" s="6"/>
      <c r="B178" s="6"/>
      <c r="C178" s="125"/>
      <c r="D178" s="125"/>
      <c r="E178" s="26"/>
      <c r="F178" s="26"/>
      <c r="G178" s="26"/>
      <c r="H178" s="26"/>
      <c r="I178" s="26"/>
      <c r="J178" s="26"/>
      <c r="K178" s="26"/>
      <c r="L178" s="26"/>
      <c r="M178" s="26"/>
      <c r="N178" s="26"/>
      <c r="O178" s="26"/>
      <c r="P178" s="26"/>
      <c r="Q178" s="26"/>
      <c r="R178" s="26"/>
      <c r="S178" s="26"/>
      <c r="T178" s="125">
        <v>28.666666665832359</v>
      </c>
      <c r="U178" s="125">
        <v>7.9717345764590002</v>
      </c>
      <c r="V178" s="125">
        <v>0.30279859922181812</v>
      </c>
      <c r="W178" s="125">
        <v>0.2661329716757993</v>
      </c>
    </row>
    <row r="179" spans="1:23">
      <c r="A179" s="6"/>
      <c r="B179" s="6"/>
      <c r="C179" s="125"/>
      <c r="D179" s="125"/>
      <c r="E179" s="26"/>
      <c r="F179" s="26"/>
      <c r="G179" s="26"/>
      <c r="H179" s="26"/>
      <c r="I179" s="26"/>
      <c r="J179" s="26"/>
      <c r="K179" s="26"/>
      <c r="L179" s="26"/>
      <c r="M179" s="26"/>
      <c r="N179" s="26"/>
      <c r="O179" s="26"/>
      <c r="P179" s="26"/>
      <c r="Q179" s="26"/>
      <c r="R179" s="26"/>
      <c r="S179" s="26"/>
      <c r="T179" s="125">
        <v>28.833333332494174</v>
      </c>
      <c r="U179" s="125">
        <v>8.0305262905348318</v>
      </c>
      <c r="V179" s="125">
        <v>0.4081000678203251</v>
      </c>
      <c r="W179" s="125">
        <v>0.36037179642500405</v>
      </c>
    </row>
    <row r="180" spans="1:23">
      <c r="A180" s="6"/>
      <c r="B180" s="6"/>
      <c r="C180" s="125"/>
      <c r="D180" s="125"/>
      <c r="E180" s="26"/>
      <c r="F180" s="26"/>
      <c r="G180" s="26"/>
      <c r="H180" s="26"/>
      <c r="I180" s="26"/>
      <c r="J180" s="26"/>
      <c r="K180" s="26"/>
      <c r="L180" s="26"/>
      <c r="M180" s="26"/>
      <c r="N180" s="26"/>
      <c r="O180" s="26"/>
      <c r="P180" s="26"/>
      <c r="Q180" s="26"/>
      <c r="R180" s="26"/>
      <c r="S180" s="26"/>
      <c r="T180" s="125">
        <v>28.999999999155989</v>
      </c>
      <c r="U180" s="125">
        <v>8.1092951190074949</v>
      </c>
      <c r="V180" s="125">
        <v>0.54177053780235751</v>
      </c>
      <c r="W180" s="125">
        <v>0.4415697887593944</v>
      </c>
    </row>
    <row r="181" spans="1:23">
      <c r="A181" s="6"/>
      <c r="B181" s="6"/>
      <c r="C181" s="125"/>
      <c r="D181" s="125"/>
      <c r="E181" s="26"/>
      <c r="F181" s="26"/>
      <c r="G181" s="26"/>
      <c r="H181" s="26"/>
      <c r="I181" s="26"/>
      <c r="J181" s="26"/>
      <c r="K181" s="26"/>
      <c r="L181" s="26"/>
      <c r="M181" s="26"/>
      <c r="N181" s="26"/>
      <c r="O181" s="26"/>
      <c r="P181" s="26"/>
      <c r="Q181" s="26"/>
      <c r="R181" s="26"/>
      <c r="S181" s="26"/>
      <c r="T181" s="125">
        <v>29.166666665817807</v>
      </c>
      <c r="U181" s="125">
        <v>8.2125995512659742</v>
      </c>
      <c r="V181" s="125">
        <v>0.7029249762302866</v>
      </c>
      <c r="W181" s="125">
        <v>0.53734488861610485</v>
      </c>
    </row>
    <row r="182" spans="1:23">
      <c r="A182" s="6"/>
      <c r="B182" s="6"/>
      <c r="C182" s="125"/>
      <c r="D182" s="125"/>
      <c r="E182" s="26"/>
      <c r="F182" s="26"/>
      <c r="G182" s="26"/>
      <c r="H182" s="26"/>
      <c r="I182" s="26"/>
      <c r="J182" s="26"/>
      <c r="K182" s="26"/>
      <c r="L182" s="26"/>
      <c r="M182" s="26"/>
      <c r="N182" s="26"/>
      <c r="O182" s="26"/>
      <c r="P182" s="26"/>
      <c r="Q182" s="26"/>
      <c r="R182" s="26"/>
      <c r="S182" s="26"/>
      <c r="T182" s="125">
        <v>29.333333332479622</v>
      </c>
      <c r="U182" s="125">
        <v>8.3462059920003622</v>
      </c>
      <c r="V182" s="125">
        <v>0.90980494447540072</v>
      </c>
      <c r="W182" s="125">
        <v>0.70376853149261986</v>
      </c>
    </row>
    <row r="183" spans="1:23">
      <c r="A183" s="6"/>
      <c r="B183" s="6"/>
      <c r="C183" s="125"/>
      <c r="D183" s="125"/>
      <c r="E183" s="26"/>
      <c r="F183" s="26"/>
      <c r="G183" s="26"/>
      <c r="H183" s="26"/>
      <c r="I183" s="26"/>
      <c r="J183" s="26"/>
      <c r="K183" s="26"/>
      <c r="L183" s="26"/>
      <c r="M183" s="26"/>
      <c r="N183" s="26"/>
      <c r="O183" s="26"/>
      <c r="P183" s="26"/>
      <c r="Q183" s="26"/>
      <c r="R183" s="26"/>
      <c r="S183" s="26"/>
      <c r="T183" s="125">
        <v>29.499999999141437</v>
      </c>
      <c r="U183" s="125">
        <v>8.5189579261834609</v>
      </c>
      <c r="V183" s="125">
        <v>1.173630053122616</v>
      </c>
      <c r="W183" s="125">
        <v>0.88539892223017402</v>
      </c>
    </row>
    <row r="184" spans="1:23">
      <c r="A184" s="6"/>
      <c r="B184" s="6"/>
      <c r="C184" s="125"/>
      <c r="D184" s="125"/>
      <c r="E184" s="26"/>
      <c r="F184" s="26"/>
      <c r="G184" s="26"/>
      <c r="H184" s="26"/>
      <c r="I184" s="26"/>
      <c r="J184" s="26"/>
      <c r="K184" s="26"/>
      <c r="L184" s="26"/>
      <c r="M184" s="26"/>
      <c r="N184" s="26"/>
      <c r="O184" s="26"/>
      <c r="P184" s="26"/>
      <c r="Q184" s="26"/>
      <c r="R184" s="26"/>
      <c r="S184" s="26"/>
      <c r="T184" s="125">
        <v>29.666666665803255</v>
      </c>
      <c r="U184" s="125">
        <v>8.7405712164179672</v>
      </c>
      <c r="V184" s="125">
        <v>1.4869333399018845</v>
      </c>
      <c r="W184" s="125">
        <v>0.89054952217687011</v>
      </c>
    </row>
    <row r="185" spans="1:23">
      <c r="A185" s="6"/>
      <c r="B185" s="6"/>
      <c r="C185" s="125"/>
      <c r="D185" s="125"/>
      <c r="E185" s="26"/>
      <c r="F185" s="26"/>
      <c r="G185" s="26"/>
      <c r="H185" s="26"/>
      <c r="I185" s="26"/>
      <c r="J185" s="26"/>
      <c r="K185" s="26"/>
      <c r="L185" s="26"/>
      <c r="M185" s="26"/>
      <c r="N185" s="26"/>
      <c r="O185" s="26"/>
      <c r="P185" s="26"/>
      <c r="Q185" s="26"/>
      <c r="R185" s="26"/>
      <c r="S185" s="26"/>
      <c r="T185" s="125">
        <v>29.83333333246507</v>
      </c>
      <c r="U185" s="125">
        <v>9.0108302989836648</v>
      </c>
      <c r="V185" s="125">
        <v>1.7410741538706376</v>
      </c>
      <c r="W185" s="125">
        <v>0.62336212995066753</v>
      </c>
    </row>
    <row r="186" spans="1:23">
      <c r="A186" s="6"/>
      <c r="B186" s="6"/>
      <c r="C186" s="125"/>
      <c r="D186" s="125"/>
      <c r="E186" s="26"/>
      <c r="F186" s="26"/>
      <c r="G186" s="26"/>
      <c r="H186" s="26"/>
      <c r="I186" s="26"/>
      <c r="J186" s="26"/>
      <c r="K186" s="26"/>
      <c r="L186" s="26"/>
      <c r="M186" s="26"/>
      <c r="N186" s="26"/>
      <c r="O186" s="26"/>
      <c r="P186" s="26"/>
      <c r="Q186" s="26"/>
      <c r="R186" s="26"/>
      <c r="S186" s="26"/>
      <c r="T186" s="125">
        <v>29.999999999126885</v>
      </c>
      <c r="U186" s="125">
        <v>9.3156319267701111</v>
      </c>
      <c r="V186" s="125">
        <v>1.8860715306788145</v>
      </c>
      <c r="W186" s="125">
        <v>7.1463283295073857E-2</v>
      </c>
    </row>
    <row r="187" spans="1:23">
      <c r="A187" s="6"/>
      <c r="B187" s="6"/>
      <c r="C187" s="125"/>
      <c r="D187" s="125"/>
      <c r="E187" s="26"/>
      <c r="F187" s="26"/>
      <c r="G187" s="26"/>
      <c r="H187" s="26"/>
      <c r="I187" s="26"/>
      <c r="J187" s="26"/>
      <c r="K187" s="26"/>
      <c r="L187" s="26"/>
      <c r="M187" s="26"/>
      <c r="N187" s="26"/>
      <c r="O187" s="26"/>
      <c r="P187" s="26"/>
      <c r="Q187" s="26"/>
      <c r="R187" s="26"/>
      <c r="S187" s="26"/>
      <c r="T187" s="125">
        <v>30.166666665788703</v>
      </c>
      <c r="U187" s="125">
        <v>9.6230530640774159</v>
      </c>
      <c r="V187" s="125">
        <v>1.7587843729544086</v>
      </c>
      <c r="W187" s="125">
        <v>-0.70885470297674902</v>
      </c>
    </row>
    <row r="188" spans="1:23">
      <c r="A188" s="6"/>
      <c r="B188" s="6"/>
      <c r="C188" s="125"/>
      <c r="D188" s="125"/>
      <c r="E188" s="26"/>
      <c r="F188" s="26"/>
      <c r="G188" s="26"/>
      <c r="H188" s="26"/>
      <c r="I188" s="26"/>
      <c r="J188" s="26"/>
      <c r="K188" s="26"/>
      <c r="L188" s="26"/>
      <c r="M188" s="26"/>
      <c r="N188" s="26"/>
      <c r="O188" s="26"/>
      <c r="P188" s="26"/>
      <c r="Q188" s="26"/>
      <c r="R188" s="26"/>
      <c r="S188" s="26"/>
      <c r="T188" s="125">
        <v>30.333333332450518</v>
      </c>
      <c r="U188" s="125">
        <v>9.89300553025166</v>
      </c>
      <c r="V188" s="125">
        <v>1.4629190269629937</v>
      </c>
      <c r="W188" s="125">
        <v>-1.0281218437201993</v>
      </c>
    </row>
    <row r="189" spans="1:23">
      <c r="A189" s="6"/>
      <c r="B189" s="6"/>
      <c r="C189" s="125"/>
      <c r="D189" s="125"/>
      <c r="E189" s="26"/>
      <c r="F189" s="26"/>
      <c r="G189" s="26"/>
      <c r="H189" s="26"/>
      <c r="I189" s="26"/>
      <c r="J189" s="26"/>
      <c r="K189" s="26"/>
      <c r="L189" s="26"/>
      <c r="M189" s="26"/>
      <c r="N189" s="26"/>
      <c r="O189" s="26"/>
      <c r="P189" s="26"/>
      <c r="Q189" s="26"/>
      <c r="R189" s="26"/>
      <c r="S189" s="26"/>
      <c r="T189" s="125">
        <v>30.499999999112333</v>
      </c>
      <c r="U189" s="125">
        <v>10.10824458672597</v>
      </c>
      <c r="V189" s="125">
        <v>1.127611491189517</v>
      </c>
      <c r="W189" s="125">
        <v>-0.92409424118169936</v>
      </c>
    </row>
    <row r="190" spans="1:23">
      <c r="A190" s="6"/>
      <c r="B190" s="6"/>
      <c r="C190" s="125"/>
      <c r="D190" s="125"/>
      <c r="E190" s="26"/>
      <c r="F190" s="26"/>
      <c r="G190" s="26"/>
      <c r="H190" s="26"/>
      <c r="I190" s="26"/>
      <c r="J190" s="26"/>
      <c r="K190" s="26"/>
      <c r="L190" s="26"/>
      <c r="M190" s="26"/>
      <c r="N190" s="26"/>
      <c r="O190" s="26"/>
      <c r="P190" s="26"/>
      <c r="Q190" s="26"/>
      <c r="R190" s="26"/>
      <c r="S190" s="26"/>
      <c r="T190" s="125">
        <v>30.666666665774152</v>
      </c>
      <c r="U190" s="125">
        <v>10.271780737699045</v>
      </c>
      <c r="V190" s="125">
        <v>0.84025482556130038</v>
      </c>
      <c r="W190" s="125">
        <v>-0.813277701231096</v>
      </c>
    </row>
    <row r="191" spans="1:23">
      <c r="A191" s="6"/>
      <c r="B191" s="6"/>
      <c r="C191" s="125"/>
      <c r="D191" s="125"/>
      <c r="E191" s="26"/>
      <c r="F191" s="26"/>
      <c r="G191" s="26"/>
      <c r="H191" s="26"/>
      <c r="I191" s="26"/>
      <c r="J191" s="26"/>
      <c r="K191" s="26"/>
      <c r="L191" s="26"/>
      <c r="M191" s="26"/>
      <c r="N191" s="26"/>
      <c r="O191" s="26"/>
      <c r="P191" s="26"/>
      <c r="Q191" s="26"/>
      <c r="R191" s="26"/>
      <c r="S191" s="26"/>
      <c r="T191" s="125">
        <v>30.833333332435966</v>
      </c>
      <c r="U191" s="125">
        <v>10.39020169081958</v>
      </c>
      <c r="V191" s="125">
        <v>0.58889184507586445</v>
      </c>
      <c r="W191" s="125">
        <v>-0.64693888649909215</v>
      </c>
    </row>
    <row r="192" spans="1:23">
      <c r="A192" s="6"/>
      <c r="B192" s="6"/>
      <c r="C192" s="125"/>
      <c r="D192" s="125"/>
      <c r="E192" s="26"/>
      <c r="F192" s="26"/>
      <c r="G192" s="26"/>
      <c r="H192" s="26"/>
      <c r="I192" s="26"/>
      <c r="J192" s="26"/>
      <c r="K192" s="26"/>
      <c r="L192" s="26"/>
      <c r="M192" s="26"/>
      <c r="N192" s="26"/>
      <c r="O192" s="26"/>
      <c r="P192" s="26"/>
      <c r="Q192" s="26"/>
      <c r="R192" s="26"/>
      <c r="S192" s="26"/>
      <c r="T192" s="125">
        <v>30.999999999097781</v>
      </c>
      <c r="U192" s="125">
        <v>10.473283290779515</v>
      </c>
      <c r="V192" s="125">
        <v>0.42523677922006986</v>
      </c>
      <c r="W192" s="125">
        <v>-0.33530311329409396</v>
      </c>
    </row>
    <row r="193" spans="1:23">
      <c r="A193" s="6"/>
      <c r="B193" s="6"/>
      <c r="C193" s="125"/>
      <c r="D193" s="125"/>
      <c r="E193" s="26"/>
      <c r="F193" s="26"/>
      <c r="G193" s="26"/>
      <c r="H193" s="26"/>
      <c r="I193" s="26"/>
      <c r="J193" s="26"/>
      <c r="K193" s="26"/>
      <c r="L193" s="26"/>
      <c r="M193" s="26"/>
      <c r="N193" s="26"/>
      <c r="O193" s="26"/>
      <c r="P193" s="26"/>
      <c r="Q193" s="26"/>
      <c r="R193" s="26"/>
      <c r="S193" s="26"/>
      <c r="T193" s="125">
        <v>31.1666666657596</v>
      </c>
      <c r="U193" s="125">
        <v>10.537691837262306</v>
      </c>
      <c r="V193" s="125">
        <v>0.36214371223396807</v>
      </c>
      <c r="W193" s="125">
        <v>-0.10430562014710965</v>
      </c>
    </row>
    <row r="194" spans="1:23">
      <c r="A194" s="6"/>
      <c r="B194" s="6"/>
      <c r="C194" s="125"/>
      <c r="D194" s="125"/>
      <c r="E194" s="26"/>
      <c r="F194" s="26"/>
      <c r="G194" s="26"/>
      <c r="H194" s="26"/>
      <c r="I194" s="26"/>
      <c r="J194" s="26"/>
      <c r="K194" s="26"/>
      <c r="L194" s="26"/>
      <c r="M194" s="26"/>
      <c r="N194" s="26"/>
      <c r="O194" s="26"/>
      <c r="P194" s="26"/>
      <c r="Q194" s="26"/>
      <c r="R194" s="26"/>
      <c r="S194" s="26"/>
      <c r="T194" s="125">
        <v>31.333333332421414</v>
      </c>
      <c r="U194" s="125">
        <v>10.595002197574242</v>
      </c>
      <c r="V194" s="125">
        <v>0.32462843519333029</v>
      </c>
      <c r="W194" s="125">
        <v>-0.12076953837682579</v>
      </c>
    </row>
    <row r="195" spans="1:23">
      <c r="A195" s="6"/>
      <c r="B195" s="6"/>
      <c r="C195" s="125"/>
      <c r="D195" s="125"/>
      <c r="E195" s="26"/>
      <c r="F195" s="26"/>
      <c r="G195" s="26"/>
      <c r="H195" s="26"/>
      <c r="I195" s="26"/>
      <c r="J195" s="26"/>
      <c r="K195" s="26"/>
      <c r="L195" s="26"/>
      <c r="M195" s="26"/>
      <c r="N195" s="26"/>
      <c r="O195" s="26"/>
      <c r="P195" s="26"/>
      <c r="Q195" s="26"/>
      <c r="R195" s="26"/>
      <c r="S195" s="26"/>
      <c r="T195" s="125">
        <v>31.499999999083229</v>
      </c>
      <c r="U195" s="125">
        <v>10.645603138055275</v>
      </c>
      <c r="V195" s="125">
        <v>0.2816251862835879</v>
      </c>
      <c r="W195" s="125">
        <v>-0.13723345660654193</v>
      </c>
    </row>
    <row r="196" spans="1:23">
      <c r="A196" s="6"/>
      <c r="B196" s="6"/>
      <c r="C196" s="125"/>
      <c r="D196" s="125"/>
      <c r="E196" s="26"/>
      <c r="F196" s="26"/>
      <c r="G196" s="26"/>
      <c r="H196" s="26"/>
      <c r="I196" s="26"/>
      <c r="J196" s="26"/>
      <c r="K196" s="26"/>
      <c r="L196" s="26"/>
      <c r="M196" s="26"/>
      <c r="N196" s="26"/>
      <c r="O196" s="26"/>
      <c r="P196" s="26"/>
      <c r="Q196" s="26"/>
      <c r="R196" s="26"/>
      <c r="S196" s="26"/>
      <c r="T196" s="125">
        <v>31.666666665745048</v>
      </c>
      <c r="U196" s="125">
        <v>10.688589198429771</v>
      </c>
      <c r="V196" s="125">
        <v>0.23370962776395224</v>
      </c>
      <c r="W196" s="125">
        <v>-0.14177561525604182</v>
      </c>
    </row>
    <row r="197" spans="1:23">
      <c r="A197" s="6"/>
      <c r="B197" s="6"/>
      <c r="C197" s="125"/>
      <c r="D197" s="125"/>
      <c r="E197" s="26"/>
      <c r="F197" s="26"/>
      <c r="G197" s="26"/>
      <c r="H197" s="26"/>
      <c r="I197" s="26"/>
      <c r="J197" s="26"/>
      <c r="K197" s="26"/>
      <c r="L197" s="26"/>
      <c r="M197" s="26"/>
      <c r="N197" s="26"/>
      <c r="O197" s="26"/>
      <c r="P197" s="26"/>
      <c r="Q197" s="26"/>
      <c r="R197" s="26"/>
      <c r="S197" s="26"/>
      <c r="T197" s="125">
        <v>31.833333332406863</v>
      </c>
      <c r="U197" s="125">
        <v>10.723836415509352</v>
      </c>
      <c r="V197" s="125">
        <v>0.19059318224478736</v>
      </c>
      <c r="W197" s="125">
        <v>-0.11694785940326657</v>
      </c>
    </row>
    <row r="198" spans="1:23">
      <c r="A198" s="6"/>
      <c r="B198" s="6"/>
      <c r="C198" s="125"/>
      <c r="D198" s="125"/>
      <c r="E198" s="26"/>
      <c r="F198" s="26"/>
      <c r="G198" s="26"/>
      <c r="H198" s="26"/>
      <c r="I198" s="26"/>
      <c r="J198" s="26"/>
      <c r="K198" s="26"/>
      <c r="L198" s="26"/>
      <c r="M198" s="26"/>
      <c r="N198" s="26"/>
      <c r="O198" s="26"/>
      <c r="P198" s="26"/>
      <c r="Q198" s="26"/>
      <c r="R198" s="26"/>
      <c r="S198" s="26"/>
      <c r="T198" s="125">
        <v>31.999999999068677</v>
      </c>
      <c r="U198" s="125">
        <v>10.752586530105978</v>
      </c>
      <c r="V198" s="125">
        <v>0.15575267388810204</v>
      </c>
      <c r="W198" s="125">
        <v>-9.2120071576234766E-2</v>
      </c>
    </row>
    <row r="199" spans="1:23">
      <c r="A199" s="6"/>
      <c r="B199" s="6"/>
      <c r="C199" s="125"/>
      <c r="D199" s="125"/>
      <c r="E199" s="26"/>
      <c r="F199" s="26"/>
      <c r="G199" s="26"/>
      <c r="H199" s="26"/>
      <c r="I199" s="26"/>
      <c r="J199" s="26"/>
      <c r="K199" s="26"/>
      <c r="L199" s="26"/>
      <c r="M199" s="26"/>
      <c r="N199" s="26"/>
      <c r="O199" s="26"/>
      <c r="P199" s="26"/>
      <c r="Q199" s="26"/>
      <c r="R199" s="26"/>
      <c r="S199" s="26"/>
      <c r="T199" s="125">
        <v>32.166666665730496</v>
      </c>
      <c r="U199" s="125">
        <v>10.776218865079171</v>
      </c>
      <c r="V199" s="125">
        <v>0.12918810270455447</v>
      </c>
      <c r="W199" s="125">
        <v>-6.729218782585035E-2</v>
      </c>
    </row>
    <row r="200" spans="1:23">
      <c r="A200" s="6"/>
      <c r="B200" s="6"/>
      <c r="C200" s="125"/>
      <c r="D200" s="125"/>
      <c r="E200" s="26"/>
      <c r="F200" s="26"/>
      <c r="G200" s="26"/>
      <c r="H200" s="26"/>
      <c r="I200" s="26"/>
      <c r="J200" s="26"/>
      <c r="K200" s="26"/>
      <c r="L200" s="26"/>
      <c r="M200" s="26"/>
      <c r="N200" s="26"/>
      <c r="O200" s="26"/>
      <c r="P200" s="26"/>
      <c r="Q200" s="26"/>
      <c r="R200" s="26"/>
      <c r="S200" s="26"/>
      <c r="T200" s="125">
        <v>32.333333332392314</v>
      </c>
      <c r="U200" s="125">
        <v>10.796112507809209</v>
      </c>
      <c r="V200" s="125">
        <v>0.11086572214192432</v>
      </c>
      <c r="W200" s="125">
        <v>-4.4051258643393071E-2</v>
      </c>
    </row>
    <row r="201" spans="1:23">
      <c r="A201" s="6"/>
      <c r="B201" s="6"/>
      <c r="C201" s="125"/>
      <c r="D201" s="125"/>
      <c r="E201" s="26"/>
      <c r="F201" s="26"/>
      <c r="G201" s="26"/>
      <c r="H201" s="26"/>
      <c r="I201" s="26"/>
      <c r="J201" s="26"/>
      <c r="K201" s="26"/>
      <c r="L201" s="26"/>
      <c r="M201" s="26"/>
      <c r="N201" s="26"/>
      <c r="O201" s="26"/>
      <c r="P201" s="26"/>
      <c r="Q201" s="26"/>
      <c r="R201" s="26"/>
      <c r="S201" s="26"/>
      <c r="T201" s="125">
        <v>32.499999999054126</v>
      </c>
      <c r="U201" s="125">
        <v>10.813481532152968</v>
      </c>
      <c r="V201" s="125">
        <v>9.8232893608968364E-2</v>
      </c>
      <c r="W201" s="125">
        <v>-3.1757956266637036E-2</v>
      </c>
    </row>
    <row r="202" spans="1:23">
      <c r="A202" s="6"/>
      <c r="B202" s="6"/>
      <c r="C202" s="125"/>
      <c r="D202" s="125"/>
      <c r="E202" s="26"/>
      <c r="F202" s="26"/>
      <c r="G202" s="26"/>
      <c r="H202" s="26"/>
      <c r="I202" s="26"/>
      <c r="J202" s="26"/>
      <c r="K202" s="26"/>
      <c r="L202" s="26"/>
      <c r="M202" s="26"/>
      <c r="N202" s="26"/>
      <c r="O202" s="26"/>
      <c r="P202" s="26"/>
      <c r="Q202" s="26"/>
      <c r="R202" s="26"/>
      <c r="S202" s="26"/>
      <c r="T202" s="125">
        <v>32.666666665715944</v>
      </c>
      <c r="U202" s="125">
        <v>10.82908622215608</v>
      </c>
      <c r="V202" s="125">
        <v>8.9697807807932864E-2</v>
      </c>
      <c r="W202" s="125">
        <v>-1.9464749813108698E-2</v>
      </c>
    </row>
    <row r="203" spans="1:23">
      <c r="A203" s="6"/>
      <c r="B203" s="6"/>
      <c r="C203" s="125"/>
      <c r="D203" s="125"/>
      <c r="E203" s="26"/>
      <c r="F203" s="26"/>
      <c r="G203" s="26"/>
      <c r="H203" s="26"/>
      <c r="I203" s="26"/>
      <c r="J203" s="26"/>
      <c r="K203" s="26"/>
      <c r="L203" s="26"/>
      <c r="M203" s="26"/>
      <c r="N203" s="26"/>
      <c r="O203" s="26"/>
      <c r="P203" s="26"/>
      <c r="Q203" s="26"/>
      <c r="R203" s="26"/>
      <c r="S203" s="26"/>
      <c r="T203" s="125">
        <v>32.833333332377762</v>
      </c>
      <c r="U203" s="125">
        <v>10.843609534942027</v>
      </c>
      <c r="V203" s="125">
        <v>8.5260464738817807E-2</v>
      </c>
      <c r="W203" s="125">
        <v>-7.1715433595803645E-3</v>
      </c>
    </row>
    <row r="204" spans="1:23">
      <c r="A204" s="6"/>
      <c r="B204" s="6"/>
      <c r="C204" s="125"/>
      <c r="D204" s="125"/>
      <c r="E204" s="26"/>
      <c r="F204" s="26"/>
      <c r="G204" s="26"/>
      <c r="H204" s="26"/>
      <c r="I204" s="26"/>
      <c r="J204" s="26"/>
      <c r="K204" s="26"/>
      <c r="L204" s="26"/>
      <c r="M204" s="26"/>
      <c r="N204" s="26"/>
      <c r="O204" s="26"/>
      <c r="P204" s="26"/>
      <c r="Q204" s="26"/>
      <c r="R204" s="26"/>
      <c r="S204" s="26"/>
      <c r="T204" s="125">
        <v>32.999999999039574</v>
      </c>
      <c r="U204" s="125">
        <v>10.857734427634291</v>
      </c>
      <c r="V204" s="125">
        <v>8.4920864422939488E-2</v>
      </c>
      <c r="W204" s="125">
        <v>5.1216950683294479E-3</v>
      </c>
    </row>
    <row r="205" spans="1:23">
      <c r="A205" s="6"/>
      <c r="B205" s="6"/>
      <c r="C205" s="125"/>
      <c r="D205" s="125"/>
      <c r="E205" s="26"/>
      <c r="F205" s="26"/>
      <c r="G205" s="26"/>
      <c r="H205" s="26"/>
      <c r="I205" s="26"/>
      <c r="J205" s="26"/>
      <c r="K205" s="26"/>
      <c r="L205" s="26"/>
      <c r="M205" s="26"/>
      <c r="N205" s="26"/>
      <c r="O205" s="26"/>
      <c r="P205" s="26"/>
      <c r="Q205" s="26"/>
      <c r="R205" s="26"/>
      <c r="S205" s="26"/>
      <c r="T205" s="125">
        <v>33.166666665701392</v>
      </c>
      <c r="U205" s="125">
        <v>10.872143857356358</v>
      </c>
      <c r="V205" s="125">
        <v>8.8679006838981625E-2</v>
      </c>
      <c r="W205" s="125">
        <v>1.7414901521899416E-2</v>
      </c>
    </row>
    <row r="206" spans="1:23">
      <c r="A206" s="6"/>
      <c r="B206" s="6"/>
      <c r="C206" s="125"/>
      <c r="D206" s="125"/>
      <c r="E206" s="26"/>
      <c r="F206" s="26"/>
      <c r="G206" s="26"/>
      <c r="H206" s="26"/>
      <c r="I206" s="26"/>
      <c r="J206" s="26"/>
      <c r="K206" s="26"/>
      <c r="L206" s="26"/>
      <c r="M206" s="26"/>
      <c r="N206" s="26"/>
      <c r="O206" s="26"/>
      <c r="P206" s="26"/>
      <c r="Q206" s="26"/>
      <c r="R206" s="26"/>
      <c r="S206" s="26"/>
      <c r="T206" s="125">
        <v>33.33333333236321</v>
      </c>
      <c r="U206" s="125">
        <v>10.887516842021457</v>
      </c>
      <c r="V206" s="125">
        <v>9.6324721332724614E-2</v>
      </c>
      <c r="W206" s="125">
        <v>2.5992392240055531E-2</v>
      </c>
    </row>
    <row r="207" spans="1:23">
      <c r="A207" s="6"/>
      <c r="B207" s="6"/>
      <c r="C207" s="125"/>
      <c r="D207" s="125"/>
      <c r="E207" s="26"/>
      <c r="F207" s="26"/>
      <c r="G207" s="26"/>
      <c r="H207" s="26"/>
      <c r="I207" s="26"/>
      <c r="J207" s="26"/>
      <c r="K207" s="26"/>
      <c r="L207" s="26"/>
      <c r="M207" s="26"/>
      <c r="N207" s="26"/>
      <c r="O207" s="26"/>
      <c r="P207" s="26"/>
      <c r="Q207" s="26"/>
      <c r="R207" s="26"/>
      <c r="S207" s="26"/>
      <c r="T207" s="125">
        <v>33.499999999025022</v>
      </c>
      <c r="U207" s="125">
        <v>10.904304397242267</v>
      </c>
      <c r="V207" s="125">
        <v>0.10520770647510552</v>
      </c>
      <c r="W207" s="125">
        <v>2.7304270845882897E-2</v>
      </c>
    </row>
    <row r="208" spans="1:23">
      <c r="A208" s="6"/>
      <c r="B208" s="6"/>
      <c r="C208" s="125"/>
      <c r="D208" s="125"/>
      <c r="E208" s="26"/>
      <c r="F208" s="26"/>
      <c r="G208" s="26"/>
      <c r="H208" s="26"/>
      <c r="I208" s="26"/>
      <c r="J208" s="26"/>
      <c r="K208" s="26"/>
      <c r="L208" s="26"/>
      <c r="M208" s="26"/>
      <c r="N208" s="26"/>
      <c r="O208" s="26"/>
      <c r="P208" s="26"/>
      <c r="Q208" s="26"/>
      <c r="R208" s="26"/>
      <c r="S208" s="26"/>
      <c r="T208" s="125">
        <v>33.66666666568684</v>
      </c>
      <c r="U208" s="125">
        <v>10.922608854660952</v>
      </c>
      <c r="V208" s="125">
        <v>0.11452798500833059</v>
      </c>
      <c r="W208" s="125">
        <v>2.8616149451710263E-2</v>
      </c>
    </row>
    <row r="209" spans="1:23">
      <c r="A209" s="6"/>
      <c r="B209" s="6"/>
      <c r="C209" s="125"/>
      <c r="D209" s="125"/>
      <c r="E209" s="26"/>
      <c r="F209" s="26"/>
      <c r="G209" s="26"/>
      <c r="H209" s="26"/>
      <c r="I209" s="26"/>
      <c r="J209" s="26"/>
      <c r="K209" s="26"/>
      <c r="L209" s="26"/>
      <c r="M209" s="26"/>
      <c r="N209" s="26"/>
      <c r="O209" s="26"/>
      <c r="P209" s="26"/>
      <c r="Q209" s="26"/>
      <c r="R209" s="26"/>
      <c r="S209" s="26"/>
      <c r="T209" s="125">
        <v>33.833333332348658</v>
      </c>
      <c r="U209" s="125">
        <v>10.94250309650991</v>
      </c>
      <c r="V209" s="125">
        <v>0.12428555692174166</v>
      </c>
      <c r="W209" s="125">
        <v>2.9927996083114517E-2</v>
      </c>
    </row>
    <row r="210" spans="1:23">
      <c r="A210" s="6"/>
      <c r="B210" s="6"/>
      <c r="C210" s="125"/>
      <c r="D210" s="125"/>
      <c r="E210" s="26"/>
      <c r="F210" s="26"/>
      <c r="G210" s="26"/>
      <c r="H210" s="26"/>
      <c r="I210" s="26"/>
      <c r="J210" s="26"/>
      <c r="K210" s="26"/>
      <c r="L210" s="26"/>
      <c r="M210" s="26"/>
      <c r="N210" s="26"/>
      <c r="O210" s="26"/>
      <c r="P210" s="26"/>
      <c r="Q210" s="26"/>
      <c r="R210" s="26"/>
      <c r="S210" s="26"/>
      <c r="T210" s="125">
        <v>33.99999999901047</v>
      </c>
      <c r="U210" s="125">
        <v>10.964060005021533</v>
      </c>
      <c r="V210" s="125">
        <v>0.13448042224731316</v>
      </c>
      <c r="W210" s="125">
        <v>3.1239906663364993E-2</v>
      </c>
    </row>
    <row r="211" spans="1:23">
      <c r="A211" s="6"/>
      <c r="B211" s="6"/>
      <c r="C211" s="125"/>
      <c r="D211" s="125"/>
      <c r="E211" s="26"/>
      <c r="F211" s="26"/>
      <c r="G211" s="26"/>
      <c r="H211" s="26"/>
      <c r="I211" s="26"/>
      <c r="J211" s="26"/>
      <c r="K211" s="26"/>
      <c r="L211" s="26"/>
      <c r="M211" s="26"/>
      <c r="N211" s="26"/>
      <c r="O211" s="26"/>
      <c r="P211" s="26"/>
      <c r="Q211" s="26"/>
      <c r="R211" s="26"/>
      <c r="S211" s="26"/>
      <c r="T211" s="125">
        <v>34.166666665672288</v>
      </c>
      <c r="U211" s="125">
        <v>10.987352462428227</v>
      </c>
      <c r="V211" s="125">
        <v>0.14511258096372884</v>
      </c>
      <c r="W211" s="125">
        <v>3.2551785269150722E-2</v>
      </c>
    </row>
    <row r="212" spans="1:23">
      <c r="A212" s="6"/>
      <c r="B212" s="6"/>
      <c r="C212" s="125"/>
      <c r="D212" s="125"/>
      <c r="E212" s="26"/>
      <c r="F212" s="26"/>
      <c r="G212" s="26"/>
      <c r="H212" s="26"/>
      <c r="I212" s="26"/>
      <c r="J212" s="26"/>
      <c r="K212" s="26"/>
      <c r="L212" s="26"/>
      <c r="M212" s="26"/>
      <c r="N212" s="26"/>
      <c r="O212" s="26"/>
      <c r="P212" s="26"/>
      <c r="Q212" s="26"/>
      <c r="R212" s="26"/>
      <c r="S212" s="26"/>
      <c r="T212" s="125">
        <v>34.333333332334107</v>
      </c>
      <c r="U212" s="125">
        <v>11.012453350962383</v>
      </c>
      <c r="V212" s="125">
        <v>0.15618203307098866</v>
      </c>
      <c r="W212" s="125">
        <v>3.3863663875019726E-2</v>
      </c>
    </row>
    <row r="213" spans="1:23">
      <c r="A213" s="6"/>
      <c r="B213" s="6"/>
      <c r="C213" s="125"/>
      <c r="D213" s="125"/>
      <c r="E213" s="26"/>
      <c r="F213" s="26"/>
      <c r="G213" s="26"/>
      <c r="H213" s="26"/>
      <c r="I213" s="26"/>
      <c r="J213" s="26"/>
      <c r="K213" s="26"/>
      <c r="L213" s="26"/>
      <c r="M213" s="26"/>
      <c r="N213" s="26"/>
      <c r="O213" s="26"/>
      <c r="P213" s="26"/>
      <c r="Q213" s="26"/>
      <c r="R213" s="26"/>
      <c r="S213" s="26"/>
      <c r="T213" s="125">
        <v>34.499999998995918</v>
      </c>
      <c r="U213" s="125">
        <v>11.0394355528564</v>
      </c>
      <c r="V213" s="125">
        <v>0.16768877857975079</v>
      </c>
      <c r="W213" s="125">
        <v>3.5175574455311831E-2</v>
      </c>
    </row>
    <row r="214" spans="1:23">
      <c r="A214" s="6"/>
      <c r="B214" s="6"/>
      <c r="C214" s="125"/>
      <c r="D214" s="125"/>
      <c r="E214" s="26"/>
      <c r="F214" s="26"/>
      <c r="G214" s="26"/>
      <c r="H214" s="26"/>
      <c r="I214" s="26"/>
      <c r="J214" s="26"/>
      <c r="K214" s="26"/>
      <c r="L214" s="26"/>
      <c r="M214" s="26"/>
      <c r="N214" s="26"/>
      <c r="O214" s="26"/>
      <c r="P214" s="26"/>
      <c r="Q214" s="26"/>
      <c r="R214" s="26"/>
      <c r="S214" s="26"/>
      <c r="T214" s="125">
        <v>34.666666665657736</v>
      </c>
      <c r="U214" s="125">
        <v>11.068363726638612</v>
      </c>
      <c r="V214" s="125">
        <v>0.17928424304070023</v>
      </c>
      <c r="W214" s="125">
        <v>3.1585518202762446E-2</v>
      </c>
    </row>
    <row r="215" spans="1:23">
      <c r="A215" s="6"/>
      <c r="B215" s="6"/>
      <c r="C215" s="125"/>
      <c r="D215" s="125"/>
      <c r="E215" s="26"/>
      <c r="F215" s="26"/>
      <c r="G215" s="26"/>
      <c r="H215" s="26"/>
      <c r="I215" s="26"/>
      <c r="J215" s="26"/>
      <c r="K215" s="26"/>
      <c r="L215" s="26"/>
      <c r="M215" s="26"/>
      <c r="N215" s="26"/>
      <c r="O215" s="26"/>
      <c r="P215" s="26"/>
      <c r="Q215" s="26"/>
      <c r="R215" s="26"/>
      <c r="S215" s="26"/>
      <c r="T215" s="125">
        <v>34.833333332319555</v>
      </c>
      <c r="U215" s="125">
        <v>11.099026450400848</v>
      </c>
      <c r="V215" s="125">
        <v>0.18811037834091235</v>
      </c>
      <c r="W215" s="125">
        <v>2.1381520555291966E-2</v>
      </c>
    </row>
    <row r="216" spans="1:23">
      <c r="A216" s="6"/>
      <c r="B216" s="6"/>
      <c r="C216" s="125"/>
      <c r="D216" s="125"/>
      <c r="E216" s="26"/>
      <c r="F216" s="26"/>
      <c r="G216" s="26"/>
      <c r="H216" s="26"/>
      <c r="I216" s="26"/>
      <c r="J216" s="26"/>
      <c r="K216" s="26"/>
      <c r="L216" s="26"/>
      <c r="M216" s="26"/>
      <c r="N216" s="26"/>
      <c r="O216" s="26"/>
      <c r="P216" s="26"/>
      <c r="Q216" s="26"/>
      <c r="R216" s="26"/>
      <c r="S216" s="26"/>
      <c r="T216" s="125">
        <v>34.999999998981366</v>
      </c>
      <c r="U216" s="125">
        <v>11.130877034917948</v>
      </c>
      <c r="V216" s="125">
        <v>0.19353517076433999</v>
      </c>
      <c r="W216" s="125">
        <v>1.1177522907821492E-2</v>
      </c>
    </row>
    <row r="217" spans="1:23">
      <c r="A217" s="6"/>
      <c r="B217" s="6"/>
      <c r="C217" s="125"/>
      <c r="D217" s="125"/>
      <c r="E217" s="26"/>
      <c r="F217" s="26"/>
      <c r="G217" s="26"/>
      <c r="H217" s="26"/>
      <c r="I217" s="26"/>
      <c r="J217" s="26"/>
      <c r="K217" s="26"/>
      <c r="L217" s="26"/>
      <c r="M217" s="26"/>
      <c r="N217" s="26"/>
      <c r="O217" s="26"/>
      <c r="P217" s="26"/>
      <c r="Q217" s="26"/>
      <c r="R217" s="26"/>
      <c r="S217" s="26"/>
      <c r="T217" s="125">
        <v>35.166666665643184</v>
      </c>
      <c r="U217" s="125">
        <v>11.163348589710939</v>
      </c>
      <c r="V217" s="125">
        <v>0.19555862030032503</v>
      </c>
      <c r="W217" s="125">
        <v>9.7342933716495247E-4</v>
      </c>
    </row>
    <row r="218" spans="1:23">
      <c r="A218" s="6"/>
      <c r="B218" s="6"/>
      <c r="C218" s="125"/>
      <c r="D218" s="125"/>
      <c r="E218" s="26"/>
      <c r="F218" s="26"/>
      <c r="G218" s="26"/>
      <c r="H218" s="26"/>
      <c r="I218" s="26"/>
      <c r="J218" s="26"/>
      <c r="K218" s="26"/>
      <c r="L218" s="26"/>
      <c r="M218" s="26"/>
      <c r="N218" s="26"/>
      <c r="O218" s="26"/>
      <c r="P218" s="26"/>
      <c r="Q218" s="26"/>
      <c r="R218" s="26"/>
      <c r="S218" s="26"/>
      <c r="T218" s="125">
        <v>35.333333332305003</v>
      </c>
      <c r="U218" s="125">
        <v>11.195874224300837</v>
      </c>
      <c r="V218" s="125">
        <v>0.19418072699150002</v>
      </c>
      <c r="W218" s="125">
        <v>-9.2305363358824132E-3</v>
      </c>
    </row>
    <row r="219" spans="1:23">
      <c r="A219" s="6"/>
      <c r="B219" s="6"/>
      <c r="C219" s="125"/>
      <c r="D219" s="125"/>
      <c r="E219" s="26"/>
      <c r="F219" s="26"/>
      <c r="G219" s="26"/>
      <c r="H219" s="26"/>
      <c r="I219" s="26"/>
      <c r="J219" s="26"/>
      <c r="K219" s="26"/>
      <c r="L219" s="26"/>
      <c r="M219" s="26"/>
      <c r="N219" s="26"/>
      <c r="O219" s="26"/>
      <c r="P219" s="26"/>
      <c r="Q219" s="26"/>
      <c r="R219" s="26"/>
      <c r="S219" s="26"/>
      <c r="T219" s="125">
        <v>35.499999998966814</v>
      </c>
      <c r="U219" s="125">
        <v>11.22788704820867</v>
      </c>
      <c r="V219" s="125">
        <v>0.18940149078457427</v>
      </c>
      <c r="W219" s="125">
        <v>-1.9434597932115844E-2</v>
      </c>
    </row>
    <row r="220" spans="1:23">
      <c r="A220" s="6"/>
      <c r="B220" s="6"/>
      <c r="C220" s="125"/>
      <c r="D220" s="125"/>
      <c r="E220" s="26"/>
      <c r="F220" s="26"/>
      <c r="G220" s="26"/>
      <c r="H220" s="26"/>
      <c r="I220" s="26"/>
      <c r="J220" s="26"/>
      <c r="K220" s="26"/>
      <c r="L220" s="26"/>
      <c r="M220" s="26"/>
      <c r="N220" s="26"/>
      <c r="O220" s="26"/>
      <c r="P220" s="26"/>
      <c r="Q220" s="26"/>
      <c r="R220" s="26"/>
      <c r="S220" s="26"/>
      <c r="T220" s="125">
        <v>35.666666665628632</v>
      </c>
      <c r="U220" s="125">
        <v>11.258820170955458</v>
      </c>
      <c r="V220" s="125">
        <v>0.18122091171152219</v>
      </c>
      <c r="W220" s="125">
        <v>-2.963859557950305E-2</v>
      </c>
    </row>
    <row r="221" spans="1:23">
      <c r="A221" s="6"/>
      <c r="B221" s="6"/>
      <c r="C221" s="125"/>
      <c r="D221" s="125"/>
      <c r="E221" s="26"/>
      <c r="F221" s="26"/>
      <c r="G221" s="26"/>
      <c r="H221" s="26"/>
      <c r="I221" s="26"/>
      <c r="J221" s="26"/>
      <c r="K221" s="26"/>
      <c r="L221" s="26"/>
      <c r="M221" s="26"/>
      <c r="N221" s="26"/>
      <c r="O221" s="26"/>
      <c r="P221" s="26"/>
      <c r="Q221" s="26"/>
      <c r="R221" s="26"/>
      <c r="S221" s="26"/>
      <c r="T221" s="125">
        <v>35.833333332290451</v>
      </c>
      <c r="U221" s="125">
        <v>11.288106702062226</v>
      </c>
      <c r="V221" s="125">
        <v>0.16963898975102751</v>
      </c>
      <c r="W221" s="125">
        <v>-3.984268915024286E-2</v>
      </c>
    </row>
    <row r="222" spans="1:23">
      <c r="A222" s="6"/>
      <c r="B222" s="6"/>
      <c r="C222" s="125"/>
      <c r="D222" s="125"/>
      <c r="E222" s="26"/>
      <c r="F222" s="26"/>
      <c r="G222" s="26"/>
      <c r="H222" s="26"/>
      <c r="I222" s="26"/>
      <c r="J222" s="26"/>
      <c r="K222" s="26"/>
      <c r="L222" s="26"/>
      <c r="M222" s="26"/>
      <c r="N222" s="26"/>
      <c r="O222" s="26"/>
      <c r="P222" s="26"/>
      <c r="Q222" s="26"/>
      <c r="R222" s="26"/>
      <c r="S222" s="26"/>
      <c r="T222" s="125">
        <v>35.999999998952262</v>
      </c>
      <c r="U222" s="125">
        <v>11.315179751049993</v>
      </c>
      <c r="V222" s="125">
        <v>0.15465572493506463</v>
      </c>
      <c r="W222" s="125">
        <v>-5.0046686797630066E-2</v>
      </c>
    </row>
    <row r="223" spans="1:23">
      <c r="A223" s="6"/>
      <c r="B223" s="6"/>
      <c r="C223" s="125"/>
      <c r="D223" s="125"/>
      <c r="E223" s="26"/>
      <c r="F223" s="26"/>
      <c r="G223" s="26"/>
      <c r="H223" s="26"/>
      <c r="I223" s="26"/>
      <c r="J223" s="26"/>
      <c r="K223" s="26"/>
      <c r="L223" s="26"/>
      <c r="M223" s="26"/>
      <c r="N223" s="26"/>
      <c r="O223" s="26"/>
      <c r="P223" s="26"/>
      <c r="Q223" s="26"/>
      <c r="R223" s="26"/>
      <c r="S223" s="26"/>
      <c r="T223" s="125">
        <v>36.166666665614081</v>
      </c>
      <c r="U223" s="125">
        <v>11.339472427439784</v>
      </c>
      <c r="V223" s="125">
        <v>0.13627111724231727</v>
      </c>
      <c r="W223" s="125">
        <v>-6.0250716419523655E-2</v>
      </c>
    </row>
    <row r="224" spans="1:23">
      <c r="A224" s="6"/>
      <c r="B224" s="6"/>
      <c r="C224" s="125"/>
      <c r="D224" s="125"/>
      <c r="E224" s="26"/>
      <c r="F224" s="26"/>
      <c r="G224" s="26"/>
      <c r="H224" s="26"/>
      <c r="I224" s="26"/>
      <c r="J224" s="26"/>
      <c r="K224" s="26"/>
      <c r="L224" s="26"/>
      <c r="M224" s="26"/>
      <c r="N224" s="26"/>
      <c r="O224" s="26"/>
      <c r="P224" s="26"/>
      <c r="Q224" s="26"/>
      <c r="R224" s="26"/>
      <c r="S224" s="26"/>
      <c r="T224" s="125">
        <v>36.333333332275899</v>
      </c>
      <c r="U224" s="125">
        <v>11.360417840752621</v>
      </c>
      <c r="V224" s="125">
        <v>0.11448516666212732</v>
      </c>
      <c r="W224" s="125">
        <v>-7.0454778015798719E-2</v>
      </c>
    </row>
    <row r="225" spans="1:23">
      <c r="A225" s="6"/>
      <c r="B225" s="6"/>
      <c r="C225" s="125"/>
      <c r="D225" s="125"/>
      <c r="E225" s="26"/>
      <c r="F225" s="26"/>
      <c r="G225" s="26"/>
      <c r="H225" s="26"/>
      <c r="I225" s="26"/>
      <c r="J225" s="26"/>
      <c r="K225" s="26"/>
      <c r="L225" s="26"/>
      <c r="M225" s="26"/>
      <c r="N225" s="26"/>
      <c r="O225" s="26"/>
      <c r="P225" s="26"/>
      <c r="Q225" s="26"/>
      <c r="R225" s="26"/>
      <c r="S225" s="26"/>
      <c r="T225" s="125">
        <v>36.49999999893771</v>
      </c>
      <c r="U225" s="125">
        <v>11.377549463985339</v>
      </c>
      <c r="V225" s="125">
        <v>9.1433982713159251E-2</v>
      </c>
      <c r="W225" s="125">
        <v>-6.5539733644030068E-2</v>
      </c>
    </row>
    <row r="226" spans="1:23">
      <c r="A226" s="6"/>
      <c r="B226" s="6"/>
      <c r="C226" s="125"/>
      <c r="D226" s="125"/>
      <c r="E226" s="26"/>
      <c r="F226" s="26"/>
      <c r="G226" s="26"/>
      <c r="H226" s="26"/>
      <c r="I226" s="26"/>
      <c r="J226" s="26"/>
      <c r="K226" s="26"/>
      <c r="L226" s="26"/>
      <c r="M226" s="26"/>
      <c r="N226" s="26"/>
      <c r="O226" s="26"/>
      <c r="P226" s="26"/>
      <c r="Q226" s="26"/>
      <c r="R226" s="26"/>
      <c r="S226" s="26"/>
      <c r="T226" s="125">
        <v>36.666666665599529</v>
      </c>
      <c r="U226" s="125">
        <v>11.39104058575071</v>
      </c>
      <c r="V226" s="125">
        <v>7.0864023920266972E-2</v>
      </c>
      <c r="W226" s="125">
        <v>-5.788764667948585E-2</v>
      </c>
    </row>
    <row r="227" spans="1:23">
      <c r="A227" s="6"/>
      <c r="B227" s="6"/>
      <c r="C227" s="125"/>
      <c r="D227" s="125"/>
      <c r="E227" s="26"/>
      <c r="F227" s="26"/>
      <c r="G227" s="26"/>
      <c r="H227" s="26"/>
      <c r="I227" s="26"/>
      <c r="J227" s="26"/>
      <c r="K227" s="26"/>
      <c r="L227" s="26"/>
      <c r="M227" s="26"/>
      <c r="N227" s="26"/>
      <c r="O227" s="26"/>
      <c r="P227" s="26"/>
      <c r="Q227" s="26"/>
      <c r="R227" s="26"/>
      <c r="S227" s="26"/>
      <c r="T227" s="125">
        <v>36.833333332261347</v>
      </c>
      <c r="U227" s="125">
        <v>11.401315726403249</v>
      </c>
      <c r="V227" s="125">
        <v>5.2844760057385906E-2</v>
      </c>
      <c r="W227" s="125">
        <v>-5.0235559714983266E-2</v>
      </c>
    </row>
    <row r="228" spans="1:23">
      <c r="A228" s="6"/>
      <c r="B228" s="6"/>
      <c r="C228" s="125"/>
      <c r="D228" s="125"/>
      <c r="E228" s="26"/>
      <c r="F228" s="26"/>
      <c r="G228" s="26"/>
      <c r="H228" s="26"/>
      <c r="I228" s="26"/>
      <c r="J228" s="26"/>
      <c r="K228" s="26"/>
      <c r="L228" s="26"/>
      <c r="M228" s="26"/>
      <c r="N228" s="26"/>
      <c r="O228" s="26"/>
      <c r="P228" s="26"/>
      <c r="Q228" s="26"/>
      <c r="R228" s="26"/>
      <c r="S228" s="26"/>
      <c r="T228" s="125">
        <v>36.999999998923158</v>
      </c>
      <c r="U228" s="125">
        <v>11.408800001764881</v>
      </c>
      <c r="V228" s="125">
        <v>3.7376191124516053E-2</v>
      </c>
      <c r="W228" s="125">
        <v>-4.2583472750480682E-2</v>
      </c>
    </row>
    <row r="229" spans="1:23">
      <c r="A229" s="6"/>
      <c r="B229" s="6"/>
      <c r="C229" s="125"/>
      <c r="D229" s="125"/>
      <c r="E229" s="26"/>
      <c r="F229" s="26"/>
      <c r="G229" s="26"/>
      <c r="H229" s="26"/>
      <c r="I229" s="26"/>
      <c r="J229" s="26"/>
      <c r="K229" s="26"/>
      <c r="L229" s="26"/>
      <c r="M229" s="26"/>
      <c r="N229" s="26"/>
      <c r="O229" s="26"/>
      <c r="P229" s="26"/>
      <c r="Q229" s="26"/>
      <c r="R229" s="26"/>
      <c r="S229" s="26"/>
      <c r="T229" s="125">
        <v>37.166666665584977</v>
      </c>
      <c r="U229" s="125">
        <v>11.413918527657534</v>
      </c>
      <c r="V229" s="125">
        <v>2.4458317110999279E-2</v>
      </c>
      <c r="W229" s="125">
        <v>-3.493141776038039E-2</v>
      </c>
    </row>
    <row r="230" spans="1:23">
      <c r="A230" s="6"/>
      <c r="B230" s="6"/>
      <c r="C230" s="125"/>
      <c r="D230" s="125"/>
      <c r="E230" s="26"/>
      <c r="F230" s="26"/>
      <c r="G230" s="26"/>
      <c r="H230" s="26"/>
      <c r="I230" s="26"/>
      <c r="J230" s="26"/>
      <c r="K230" s="26"/>
      <c r="L230" s="26"/>
      <c r="M230" s="26"/>
      <c r="N230" s="26"/>
      <c r="O230" s="26"/>
      <c r="P230" s="26"/>
      <c r="Q230" s="26"/>
      <c r="R230" s="26"/>
      <c r="S230" s="26"/>
      <c r="T230" s="125">
        <v>37.333333332246795</v>
      </c>
      <c r="U230" s="125">
        <v>11.417096419903132</v>
      </c>
      <c r="V230" s="125">
        <v>1.4091138048810002E-2</v>
      </c>
      <c r="W230" s="125">
        <v>-2.7279330795862197E-2</v>
      </c>
    </row>
    <row r="231" spans="1:23">
      <c r="A231" s="6"/>
      <c r="B231" s="6"/>
      <c r="C231" s="125"/>
      <c r="D231" s="125"/>
      <c r="E231" s="26"/>
      <c r="F231" s="26"/>
      <c r="G231" s="26"/>
      <c r="H231" s="26"/>
      <c r="I231" s="26"/>
      <c r="J231" s="26"/>
      <c r="K231" s="26"/>
      <c r="L231" s="26"/>
      <c r="M231" s="26"/>
      <c r="N231" s="26"/>
      <c r="O231" s="26"/>
      <c r="P231" s="26"/>
      <c r="Q231" s="26"/>
      <c r="R231" s="26"/>
      <c r="S231" s="26"/>
      <c r="T231" s="125">
        <v>37.499999998908606</v>
      </c>
      <c r="U231" s="125">
        <v>11.418758794323601</v>
      </c>
      <c r="V231" s="125">
        <v>6.2746539059737993E-3</v>
      </c>
      <c r="W231" s="125">
        <v>-1.9627275805764507E-2</v>
      </c>
    </row>
    <row r="232" spans="1:23">
      <c r="A232" s="6"/>
      <c r="B232" s="6"/>
      <c r="C232" s="125"/>
      <c r="D232" s="125"/>
      <c r="E232" s="26"/>
      <c r="F232" s="26"/>
      <c r="G232" s="26"/>
      <c r="H232" s="26"/>
      <c r="I232" s="26"/>
      <c r="J232" s="26"/>
      <c r="K232" s="26"/>
      <c r="L232" s="26"/>
      <c r="M232" s="26"/>
      <c r="N232" s="26"/>
      <c r="O232" s="26"/>
      <c r="P232" s="26"/>
      <c r="Q232" s="26"/>
      <c r="R232" s="26"/>
      <c r="S232" s="26"/>
      <c r="T232" s="125">
        <v>37.666666665570425</v>
      </c>
      <c r="U232" s="125">
        <v>11.419330766740867</v>
      </c>
      <c r="V232" s="125">
        <v>1.0088647038069517E-3</v>
      </c>
      <c r="W232" s="125">
        <v>-1.1975156866825801E-2</v>
      </c>
    </row>
    <row r="233" spans="1:23">
      <c r="A233" s="6"/>
      <c r="B233" s="6"/>
      <c r="C233" s="125"/>
      <c r="D233" s="125"/>
      <c r="E233" s="26"/>
      <c r="F233" s="26"/>
      <c r="G233" s="26"/>
      <c r="H233" s="26"/>
      <c r="I233" s="26"/>
      <c r="J233" s="26"/>
      <c r="K233" s="26"/>
      <c r="L233" s="26"/>
      <c r="M233" s="26"/>
      <c r="N233" s="26"/>
      <c r="O233" s="26"/>
      <c r="P233" s="26"/>
      <c r="Q233" s="26"/>
      <c r="R233" s="26"/>
      <c r="S233" s="26"/>
      <c r="T233" s="125">
        <v>37.833333332232243</v>
      </c>
      <c r="U233" s="125">
        <v>11.419237452976855</v>
      </c>
      <c r="V233" s="125">
        <v>-1.70622956834868E-3</v>
      </c>
      <c r="W233" s="125">
        <v>-4.3230699023082547E-3</v>
      </c>
    </row>
    <row r="234" spans="1:23">
      <c r="A234" s="6"/>
      <c r="B234" s="6"/>
      <c r="C234" s="125"/>
      <c r="D234" s="125"/>
      <c r="E234" s="26"/>
      <c r="F234" s="26"/>
      <c r="G234" s="26"/>
      <c r="H234" s="26"/>
      <c r="I234" s="26"/>
      <c r="J234" s="26"/>
      <c r="K234" s="26"/>
      <c r="L234" s="26"/>
      <c r="M234" s="26"/>
      <c r="N234" s="26"/>
      <c r="O234" s="26"/>
      <c r="P234" s="26"/>
      <c r="Q234" s="26"/>
      <c r="R234" s="26"/>
      <c r="S234" s="26"/>
      <c r="T234" s="125">
        <v>37.999999998894054</v>
      </c>
      <c r="U234" s="125">
        <v>11.418903968853492</v>
      </c>
      <c r="V234" s="125">
        <v>-1.8706289104930963E-3</v>
      </c>
      <c r="W234" s="125">
        <v>3.329017062208642E-3</v>
      </c>
    </row>
    <row r="235" spans="1:23">
      <c r="A235" s="6"/>
      <c r="B235" s="6"/>
      <c r="C235" s="125"/>
      <c r="D235" s="125"/>
      <c r="E235" s="26"/>
      <c r="F235" s="26"/>
      <c r="G235" s="26"/>
      <c r="H235" s="26"/>
      <c r="I235" s="26"/>
      <c r="J235" s="26"/>
      <c r="K235" s="26"/>
      <c r="L235" s="26"/>
      <c r="M235" s="26"/>
      <c r="N235" s="26"/>
      <c r="O235" s="26"/>
      <c r="P235" s="26"/>
      <c r="Q235" s="26"/>
      <c r="R235" s="26"/>
      <c r="S235" s="26"/>
      <c r="T235" s="125">
        <v>38.166666665555873</v>
      </c>
      <c r="U235" s="125">
        <v>11.418755430192704</v>
      </c>
      <c r="V235" s="125">
        <v>5.1566667737370272E-4</v>
      </c>
      <c r="W235" s="125">
        <v>1.0981104026725863E-2</v>
      </c>
    </row>
    <row r="236" spans="1:23">
      <c r="A236" s="6"/>
      <c r="B236" s="6"/>
      <c r="C236" s="125"/>
      <c r="D236" s="125"/>
      <c r="E236" s="26"/>
      <c r="F236" s="26"/>
      <c r="G236" s="26"/>
      <c r="H236" s="26"/>
      <c r="I236" s="26"/>
      <c r="J236" s="26"/>
      <c r="K236" s="26"/>
      <c r="L236" s="26"/>
      <c r="M236" s="26"/>
      <c r="N236" s="26"/>
      <c r="O236" s="26"/>
      <c r="P236" s="26"/>
      <c r="Q236" s="26"/>
      <c r="R236" s="26"/>
      <c r="S236" s="26"/>
      <c r="T236" s="125">
        <v>38.333333332217691</v>
      </c>
      <c r="U236" s="125">
        <v>11.419216952816416</v>
      </c>
      <c r="V236" s="125">
        <v>5.4526571952517172E-3</v>
      </c>
      <c r="W236" s="125">
        <v>1.8633159016818675E-2</v>
      </c>
    </row>
    <row r="237" spans="1:23">
      <c r="A237" s="6"/>
      <c r="B237" s="6"/>
      <c r="C237" s="125"/>
      <c r="D237" s="125"/>
      <c r="E237" s="26"/>
      <c r="F237" s="26"/>
      <c r="G237" s="26"/>
      <c r="H237" s="26"/>
      <c r="I237" s="26"/>
      <c r="J237" s="26"/>
      <c r="K237" s="26"/>
      <c r="L237" s="26"/>
      <c r="M237" s="26"/>
      <c r="N237" s="26"/>
      <c r="O237" s="26"/>
      <c r="P237" s="26"/>
      <c r="Q237" s="26"/>
      <c r="R237" s="26"/>
      <c r="S237" s="26"/>
      <c r="T237" s="125">
        <v>38.499999998879503</v>
      </c>
      <c r="U237" s="125">
        <v>11.420713652546553</v>
      </c>
      <c r="V237" s="125">
        <v>1.2940342653799088E-2</v>
      </c>
      <c r="W237" s="125">
        <v>2.628530993018309E-2</v>
      </c>
    </row>
    <row r="238" spans="1:23">
      <c r="A238" s="6"/>
      <c r="B238" s="6"/>
      <c r="C238" s="125"/>
      <c r="D238" s="125"/>
      <c r="E238" s="26"/>
      <c r="F238" s="26"/>
      <c r="G238" s="26"/>
      <c r="H238" s="26"/>
      <c r="I238" s="26"/>
      <c r="J238" s="26"/>
      <c r="K238" s="26"/>
      <c r="L238" s="26"/>
      <c r="M238" s="26"/>
      <c r="N238" s="26"/>
      <c r="O238" s="26"/>
      <c r="P238" s="26"/>
      <c r="Q238" s="26"/>
      <c r="R238" s="26"/>
      <c r="S238" s="26"/>
      <c r="T238" s="125">
        <v>38.666666665541321</v>
      </c>
      <c r="U238" s="125">
        <v>11.423670626290276</v>
      </c>
      <c r="V238" s="125">
        <v>2.2972723787930929E-2</v>
      </c>
      <c r="W238" s="125">
        <v>3.3324639050197842E-2</v>
      </c>
    </row>
    <row r="239" spans="1:23">
      <c r="A239" s="6"/>
      <c r="B239" s="6"/>
      <c r="C239" s="125"/>
      <c r="D239" s="125"/>
      <c r="E239" s="26"/>
      <c r="F239" s="26"/>
      <c r="G239" s="26"/>
      <c r="H239" s="26"/>
      <c r="I239" s="26"/>
      <c r="J239" s="26"/>
      <c r="K239" s="26"/>
      <c r="L239" s="26"/>
      <c r="M239" s="26"/>
      <c r="N239" s="26"/>
      <c r="O239" s="26"/>
      <c r="P239" s="26"/>
      <c r="Q239" s="26"/>
      <c r="R239" s="26"/>
      <c r="S239" s="26"/>
      <c r="T239" s="125">
        <v>38.833333332203139</v>
      </c>
      <c r="U239" s="125">
        <v>11.428396765801413</v>
      </c>
      <c r="V239" s="125">
        <v>3.3587128141033221E-2</v>
      </c>
      <c r="W239" s="125">
        <v>3.0364766702798963E-2</v>
      </c>
    </row>
    <row r="240" spans="1:23">
      <c r="A240" s="6"/>
      <c r="B240" s="6"/>
      <c r="C240" s="125"/>
      <c r="D240" s="125"/>
      <c r="E240" s="26"/>
      <c r="F240" s="26"/>
      <c r="G240" s="26"/>
      <c r="H240" s="26"/>
      <c r="I240" s="26"/>
      <c r="J240" s="26"/>
      <c r="K240" s="26"/>
      <c r="L240" s="26"/>
      <c r="M240" s="26"/>
      <c r="N240" s="26"/>
      <c r="O240" s="26"/>
      <c r="P240" s="26"/>
      <c r="Q240" s="26"/>
      <c r="R240" s="26"/>
      <c r="S240" s="26"/>
      <c r="T240" s="125">
        <v>38.999999998864951</v>
      </c>
      <c r="U240" s="125">
        <v>11.43480983653296</v>
      </c>
      <c r="V240" s="125">
        <v>4.3214911810288525E-2</v>
      </c>
      <c r="W240" s="125">
        <v>2.7404894355431308E-2</v>
      </c>
    </row>
    <row r="241" spans="1:23">
      <c r="A241" s="6"/>
      <c r="B241" s="6"/>
      <c r="C241" s="125"/>
      <c r="D241" s="125"/>
      <c r="E241" s="26"/>
      <c r="F241" s="26"/>
      <c r="G241" s="26"/>
      <c r="H241" s="26"/>
      <c r="I241" s="26"/>
      <c r="J241" s="26"/>
      <c r="K241" s="26"/>
      <c r="L241" s="26"/>
      <c r="M241" s="26"/>
      <c r="N241" s="26"/>
      <c r="O241" s="26"/>
      <c r="P241" s="26"/>
      <c r="Q241" s="26"/>
      <c r="R241" s="26"/>
      <c r="S241" s="26"/>
      <c r="T241" s="125">
        <v>39.166666665526769</v>
      </c>
      <c r="U241" s="125">
        <v>11.442745401704318</v>
      </c>
      <c r="V241" s="125">
        <v>5.1856074795696837E-2</v>
      </c>
      <c r="W241" s="125">
        <v>2.4445022008022021E-2</v>
      </c>
    </row>
    <row r="242" spans="1:23">
      <c r="A242" s="6"/>
      <c r="B242" s="6"/>
      <c r="C242" s="125"/>
      <c r="D242" s="125"/>
      <c r="E242" s="26"/>
      <c r="F242" s="26"/>
      <c r="G242" s="26"/>
      <c r="H242" s="26"/>
      <c r="I242" s="26"/>
      <c r="J242" s="26"/>
      <c r="K242" s="26"/>
      <c r="L242" s="26"/>
      <c r="M242" s="26"/>
      <c r="N242" s="26"/>
      <c r="O242" s="26"/>
      <c r="P242" s="26"/>
      <c r="Q242" s="26"/>
      <c r="R242" s="26"/>
      <c r="S242" s="26"/>
      <c r="T242" s="125">
        <v>39.333333332188587</v>
      </c>
      <c r="U242" s="125">
        <v>11.452039024534887</v>
      </c>
      <c r="V242" s="125">
        <v>5.9510617097258169E-2</v>
      </c>
      <c r="W242" s="125">
        <v>2.1485181635056659E-2</v>
      </c>
    </row>
    <row r="243" spans="1:23">
      <c r="A243" s="6"/>
      <c r="B243" s="6"/>
      <c r="C243" s="125"/>
      <c r="D243" s="125"/>
      <c r="E243" s="26"/>
      <c r="F243" s="26"/>
      <c r="G243" s="26"/>
      <c r="H243" s="26"/>
      <c r="I243" s="26"/>
      <c r="J243" s="26"/>
      <c r="K243" s="26"/>
      <c r="L243" s="26"/>
      <c r="M243" s="26"/>
      <c r="N243" s="26"/>
      <c r="O243" s="26"/>
      <c r="P243" s="26"/>
      <c r="Q243" s="26"/>
      <c r="R243" s="26"/>
      <c r="S243" s="26"/>
      <c r="T243" s="125">
        <v>39.499999998850399</v>
      </c>
      <c r="U243" s="125">
        <v>11.462526268244066</v>
      </c>
      <c r="V243" s="125">
        <v>6.6178538714972507E-2</v>
      </c>
      <c r="W243" s="125">
        <v>1.8525309287668188E-2</v>
      </c>
    </row>
    <row r="244" spans="1:23">
      <c r="A244" s="6"/>
      <c r="B244" s="6"/>
      <c r="C244" s="125"/>
      <c r="D244" s="125"/>
      <c r="E244" s="26"/>
      <c r="F244" s="26"/>
      <c r="G244" s="26"/>
      <c r="H244" s="26"/>
      <c r="I244" s="26"/>
      <c r="J244" s="26"/>
      <c r="K244" s="26"/>
      <c r="L244" s="26"/>
      <c r="M244" s="26"/>
      <c r="N244" s="26"/>
      <c r="O244" s="26"/>
      <c r="P244" s="26"/>
      <c r="Q244" s="26"/>
      <c r="R244" s="26"/>
      <c r="S244" s="26"/>
      <c r="T244" s="125">
        <v>39.666666665512217</v>
      </c>
      <c r="U244" s="125">
        <v>11.474042696051253</v>
      </c>
      <c r="V244" s="125">
        <v>7.1859839659497993E-2</v>
      </c>
      <c r="W244" s="125">
        <v>1.5565468914702826E-2</v>
      </c>
    </row>
    <row r="245" spans="1:23">
      <c r="A245" s="6"/>
      <c r="B245" s="6"/>
      <c r="C245" s="125"/>
      <c r="D245" s="125"/>
      <c r="E245" s="26"/>
      <c r="F245" s="26"/>
      <c r="G245" s="26"/>
      <c r="H245" s="26"/>
      <c r="I245" s="26"/>
      <c r="J245" s="26"/>
      <c r="K245" s="26"/>
      <c r="L245" s="26"/>
      <c r="M245" s="26"/>
      <c r="N245" s="26"/>
      <c r="O245" s="26"/>
      <c r="P245" s="26"/>
      <c r="Q245" s="26"/>
      <c r="R245" s="26"/>
      <c r="S245" s="26"/>
      <c r="T245" s="125">
        <v>39.833333332174035</v>
      </c>
      <c r="U245" s="125">
        <v>11.48642387117585</v>
      </c>
      <c r="V245" s="125">
        <v>7.6554519909518365E-2</v>
      </c>
      <c r="W245" s="125">
        <v>1.2605596567314355E-2</v>
      </c>
    </row>
    <row r="246" spans="1:23">
      <c r="A246" s="6"/>
      <c r="B246" s="6"/>
      <c r="C246" s="125"/>
      <c r="D246" s="125"/>
      <c r="E246" s="26"/>
      <c r="F246" s="26"/>
      <c r="G246" s="26"/>
      <c r="H246" s="26"/>
      <c r="I246" s="26"/>
      <c r="J246" s="26"/>
      <c r="K246" s="26"/>
      <c r="L246" s="26"/>
      <c r="M246" s="26"/>
      <c r="N246" s="26"/>
      <c r="O246" s="26"/>
      <c r="P246" s="26"/>
      <c r="Q246" s="26"/>
      <c r="R246" s="26"/>
      <c r="S246" s="26"/>
      <c r="T246" s="125">
        <v>39.999999998835847</v>
      </c>
      <c r="U246" s="125">
        <v>11.499505356837256</v>
      </c>
      <c r="V246" s="125">
        <v>8.0262579475691737E-2</v>
      </c>
      <c r="W246" s="125">
        <v>9.6457242199258844E-3</v>
      </c>
    </row>
    <row r="247" spans="1:23">
      <c r="A247" s="6"/>
      <c r="B247" s="6"/>
      <c r="C247" s="125"/>
      <c r="D247" s="125"/>
      <c r="E247" s="26"/>
      <c r="F247" s="26"/>
      <c r="G247" s="26"/>
      <c r="H247" s="26"/>
      <c r="I247" s="26"/>
      <c r="J247" s="26"/>
      <c r="K247" s="26"/>
      <c r="L247" s="26"/>
      <c r="M247" s="26"/>
      <c r="N247" s="26"/>
      <c r="O247" s="26"/>
      <c r="P247" s="26"/>
      <c r="Q247" s="26"/>
      <c r="R247" s="26"/>
      <c r="S247" s="26"/>
      <c r="T247" s="125">
        <v>40.166666665497665</v>
      </c>
      <c r="U247" s="125">
        <v>11.513122716254868</v>
      </c>
      <c r="V247" s="125">
        <v>8.2984018368676263E-2</v>
      </c>
      <c r="W247" s="125">
        <v>6.6859158213419994E-3</v>
      </c>
    </row>
    <row r="248" spans="1:23">
      <c r="A248" s="6"/>
      <c r="B248" s="6"/>
      <c r="C248" s="125"/>
      <c r="D248" s="125"/>
      <c r="E248" s="26"/>
      <c r="F248" s="26"/>
      <c r="G248" s="26"/>
      <c r="H248" s="26"/>
      <c r="I248" s="26"/>
      <c r="J248" s="26"/>
      <c r="K248" s="26"/>
      <c r="L248" s="26"/>
      <c r="M248" s="26"/>
      <c r="N248" s="26"/>
      <c r="O248" s="26"/>
      <c r="P248" s="26"/>
      <c r="Q248" s="26"/>
      <c r="R248" s="26"/>
      <c r="S248" s="26"/>
      <c r="T248" s="125">
        <v>40.333333332159484</v>
      </c>
      <c r="U248" s="125">
        <v>11.527111512648089</v>
      </c>
      <c r="V248" s="125">
        <v>8.4718836567155675E-2</v>
      </c>
      <c r="W248" s="125">
        <v>3.7260114995720513E-3</v>
      </c>
    </row>
    <row r="249" spans="1:23">
      <c r="A249" s="6"/>
      <c r="B249" s="6"/>
      <c r="C249" s="125"/>
      <c r="D249" s="125"/>
      <c r="E249" s="26"/>
      <c r="F249" s="26"/>
      <c r="G249" s="26"/>
      <c r="H249" s="26"/>
      <c r="I249" s="26"/>
      <c r="J249" s="26"/>
      <c r="K249" s="26"/>
      <c r="L249" s="26"/>
      <c r="M249" s="26"/>
      <c r="N249" s="26"/>
      <c r="O249" s="26"/>
      <c r="P249" s="26"/>
      <c r="Q249" s="26"/>
      <c r="R249" s="26"/>
      <c r="S249" s="26"/>
      <c r="T249" s="125">
        <v>40.499999998821295</v>
      </c>
      <c r="U249" s="125">
        <v>11.541307309236316</v>
      </c>
      <c r="V249" s="125">
        <v>8.5467034081788087E-2</v>
      </c>
      <c r="W249" s="125">
        <v>7.6613915218358007E-4</v>
      </c>
    </row>
    <row r="250" spans="1:23">
      <c r="A250" s="6"/>
      <c r="B250" s="6"/>
      <c r="C250" s="125"/>
      <c r="D250" s="125"/>
      <c r="E250" s="26"/>
      <c r="F250" s="26"/>
      <c r="G250" s="26"/>
      <c r="H250" s="26"/>
      <c r="I250" s="26"/>
      <c r="J250" s="26"/>
      <c r="K250" s="26"/>
      <c r="L250" s="26"/>
      <c r="M250" s="26"/>
      <c r="N250" s="26"/>
      <c r="O250" s="26"/>
      <c r="P250" s="26"/>
      <c r="Q250" s="26"/>
      <c r="R250" s="26"/>
      <c r="S250" s="26"/>
      <c r="T250" s="125">
        <v>40.666666665483113</v>
      </c>
      <c r="U250" s="125">
        <v>11.555545669238949</v>
      </c>
      <c r="V250" s="125">
        <v>8.5228610923231654E-2</v>
      </c>
      <c r="W250" s="125">
        <v>-2.193669246358671E-3</v>
      </c>
    </row>
    <row r="251" spans="1:23">
      <c r="A251" s="6"/>
      <c r="B251" s="6"/>
      <c r="C251" s="125"/>
      <c r="D251" s="125"/>
      <c r="E251" s="26"/>
      <c r="F251" s="26"/>
      <c r="G251" s="26"/>
      <c r="H251" s="26"/>
      <c r="I251" s="26"/>
      <c r="J251" s="26"/>
      <c r="K251" s="26"/>
      <c r="L251" s="26"/>
      <c r="M251" s="26"/>
      <c r="N251" s="26"/>
      <c r="O251" s="26"/>
      <c r="P251" s="26"/>
      <c r="Q251" s="26"/>
      <c r="R251" s="26"/>
      <c r="S251" s="26"/>
      <c r="T251" s="125">
        <v>40.833333332144932</v>
      </c>
      <c r="U251" s="125">
        <v>11.569662155875388</v>
      </c>
      <c r="V251" s="125">
        <v>8.4003567070170079E-2</v>
      </c>
      <c r="W251" s="125">
        <v>-5.1535415937887753E-3</v>
      </c>
    </row>
    <row r="252" spans="1:23">
      <c r="A252" s="6"/>
      <c r="B252" s="6"/>
      <c r="C252" s="125"/>
      <c r="D252" s="125"/>
      <c r="E252" s="26"/>
      <c r="F252" s="26"/>
      <c r="G252" s="26"/>
      <c r="H252" s="26"/>
      <c r="I252" s="26"/>
      <c r="J252" s="26"/>
      <c r="K252" s="26"/>
      <c r="L252" s="26"/>
      <c r="M252" s="26"/>
      <c r="N252" s="26"/>
      <c r="O252" s="26"/>
      <c r="P252" s="26"/>
      <c r="Q252" s="26"/>
      <c r="R252" s="26"/>
      <c r="S252" s="26"/>
      <c r="T252" s="125">
        <v>40.999999998806743</v>
      </c>
      <c r="U252" s="125">
        <v>11.583492332365033</v>
      </c>
      <c r="V252" s="125">
        <v>8.1791902533261532E-2</v>
      </c>
      <c r="W252" s="125">
        <v>-8.1134459156003563E-3</v>
      </c>
    </row>
    <row r="253" spans="1:23">
      <c r="A253" s="6"/>
      <c r="B253" s="6"/>
      <c r="C253" s="125"/>
      <c r="D253" s="125"/>
      <c r="E253" s="26"/>
      <c r="F253" s="26"/>
      <c r="G253" s="26"/>
      <c r="H253" s="26"/>
      <c r="I253" s="26"/>
      <c r="J253" s="26"/>
      <c r="K253" s="26"/>
      <c r="L253" s="26"/>
      <c r="M253" s="26"/>
      <c r="N253" s="26"/>
      <c r="O253" s="26"/>
      <c r="P253" s="26"/>
      <c r="Q253" s="26"/>
      <c r="R253" s="26"/>
      <c r="S253" s="26"/>
      <c r="T253" s="125">
        <v>41.166666665468561</v>
      </c>
      <c r="U253" s="125">
        <v>11.596871761927281</v>
      </c>
      <c r="V253" s="125">
        <v>7.8593617323164139E-2</v>
      </c>
      <c r="W253" s="125">
        <v>-1.1073254314142609E-2</v>
      </c>
    </row>
    <row r="254" spans="1:23">
      <c r="A254" s="6"/>
      <c r="B254" s="6"/>
      <c r="C254" s="125"/>
      <c r="D254" s="125"/>
      <c r="E254" s="26"/>
      <c r="F254" s="26"/>
      <c r="G254" s="26"/>
      <c r="H254" s="26"/>
      <c r="I254" s="26"/>
      <c r="J254" s="26"/>
      <c r="K254" s="26"/>
      <c r="L254" s="26"/>
      <c r="M254" s="26"/>
      <c r="N254" s="26"/>
      <c r="O254" s="26"/>
      <c r="P254" s="26"/>
      <c r="Q254" s="26"/>
      <c r="R254" s="26"/>
      <c r="S254" s="26"/>
      <c r="T254" s="125">
        <v>41.33333333213038</v>
      </c>
      <c r="U254" s="125">
        <v>11.609636007781534</v>
      </c>
      <c r="V254" s="125">
        <v>7.4408711418561618E-2</v>
      </c>
      <c r="W254" s="125">
        <v>-1.4033158635954189E-2</v>
      </c>
    </row>
    <row r="255" spans="1:23">
      <c r="A255" s="6"/>
      <c r="B255" s="6"/>
      <c r="C255" s="125"/>
      <c r="D255" s="125"/>
      <c r="E255" s="26"/>
      <c r="F255" s="26"/>
      <c r="G255" s="26"/>
      <c r="H255" s="26"/>
      <c r="I255" s="26"/>
      <c r="J255" s="26"/>
      <c r="K255" s="26"/>
      <c r="L255" s="26"/>
      <c r="M255" s="26"/>
      <c r="N255" s="26"/>
      <c r="O255" s="26"/>
      <c r="P255" s="26"/>
      <c r="Q255" s="26"/>
      <c r="R255" s="26"/>
      <c r="S255" s="26"/>
      <c r="T255" s="125">
        <v>41.499999998792191</v>
      </c>
      <c r="U255" s="125">
        <v>11.62162063314719</v>
      </c>
      <c r="V255" s="125">
        <v>6.9237184840770238E-2</v>
      </c>
      <c r="W255" s="125">
        <v>-1.6992999008919551E-2</v>
      </c>
    </row>
    <row r="256" spans="1:23">
      <c r="A256" s="6"/>
      <c r="B256" s="6"/>
      <c r="C256" s="125"/>
      <c r="D256" s="125"/>
      <c r="E256" s="26"/>
      <c r="F256" s="26"/>
      <c r="G256" s="26"/>
      <c r="H256" s="26"/>
      <c r="I256" s="26"/>
      <c r="J256" s="26"/>
      <c r="K256" s="26"/>
      <c r="L256" s="26"/>
      <c r="M256" s="26"/>
      <c r="N256" s="26"/>
      <c r="O256" s="26"/>
      <c r="P256" s="26"/>
      <c r="Q256" s="26"/>
      <c r="R256" s="26"/>
      <c r="S256" s="26"/>
      <c r="T256" s="125">
        <v>41.666666665454009</v>
      </c>
      <c r="U256" s="125">
        <v>11.63266569070097</v>
      </c>
      <c r="V256" s="125">
        <v>6.3243520832820685E-2</v>
      </c>
      <c r="W256" s="125">
        <v>-1.7952263676646714E-2</v>
      </c>
    </row>
    <row r="257" spans="1:23">
      <c r="A257" s="6"/>
      <c r="B257" s="6"/>
      <c r="C257" s="125"/>
      <c r="D257" s="125"/>
      <c r="E257" s="26"/>
      <c r="F257" s="26"/>
      <c r="G257" s="26"/>
      <c r="H257" s="26"/>
      <c r="I257" s="26"/>
      <c r="J257" s="26"/>
      <c r="K257" s="26"/>
      <c r="L257" s="26"/>
      <c r="M257" s="26"/>
      <c r="N257" s="26"/>
      <c r="O257" s="26"/>
      <c r="P257" s="26"/>
      <c r="Q257" s="26"/>
      <c r="R257" s="26"/>
      <c r="S257" s="26"/>
      <c r="T257" s="125">
        <v>41.833333332115828</v>
      </c>
      <c r="U257" s="125">
        <v>11.642718324065822</v>
      </c>
      <c r="V257" s="125">
        <v>5.7443612449754426E-2</v>
      </c>
      <c r="W257" s="125">
        <v>-1.6848282769902263E-2</v>
      </c>
    </row>
    <row r="258" spans="1:23">
      <c r="A258" s="6"/>
      <c r="B258" s="6"/>
      <c r="C258" s="125"/>
      <c r="D258" s="125"/>
      <c r="E258" s="26"/>
      <c r="F258" s="26"/>
      <c r="G258" s="26"/>
      <c r="H258" s="26"/>
      <c r="I258" s="26"/>
      <c r="J258" s="26"/>
      <c r="K258" s="26"/>
      <c r="L258" s="26"/>
      <c r="M258" s="26"/>
      <c r="N258" s="26"/>
      <c r="O258" s="26"/>
      <c r="P258" s="26"/>
      <c r="Q258" s="26"/>
      <c r="R258" s="26"/>
      <c r="S258" s="26"/>
      <c r="T258" s="125">
        <v>41.999999998777639</v>
      </c>
      <c r="U258" s="125">
        <v>11.651834941804662</v>
      </c>
      <c r="V258" s="125">
        <v>5.2011701315372527E-2</v>
      </c>
      <c r="W258" s="125">
        <v>-1.5744301863157811E-2</v>
      </c>
    </row>
    <row r="259" spans="1:23">
      <c r="A259" s="6"/>
      <c r="B259" s="6"/>
      <c r="C259" s="125"/>
      <c r="D259" s="125"/>
      <c r="E259" s="26"/>
      <c r="F259" s="26"/>
      <c r="G259" s="26"/>
      <c r="H259" s="26"/>
      <c r="I259" s="26"/>
      <c r="J259" s="26"/>
      <c r="K259" s="26"/>
      <c r="L259" s="26"/>
      <c r="M259" s="26"/>
      <c r="N259" s="26"/>
      <c r="O259" s="26"/>
      <c r="P259" s="26"/>
      <c r="Q259" s="26"/>
      <c r="R259" s="26"/>
      <c r="S259" s="26"/>
      <c r="T259" s="125">
        <v>42.166666665439458</v>
      </c>
      <c r="U259" s="125">
        <v>11.660076876791532</v>
      </c>
      <c r="V259" s="125">
        <v>4.694778741901684E-2</v>
      </c>
      <c r="W259" s="125">
        <v>-1.4640320956413362E-2</v>
      </c>
    </row>
    <row r="260" spans="1:23">
      <c r="A260" s="6"/>
      <c r="B260" s="6"/>
      <c r="C260" s="125"/>
      <c r="D260" s="125"/>
      <c r="E260" s="26"/>
      <c r="F260" s="26"/>
      <c r="G260" s="26"/>
      <c r="H260" s="26"/>
      <c r="I260" s="26"/>
      <c r="J260" s="26"/>
      <c r="K260" s="26"/>
      <c r="L260" s="26"/>
      <c r="M260" s="26"/>
      <c r="N260" s="26"/>
      <c r="O260" s="26"/>
      <c r="P260" s="26"/>
      <c r="Q260" s="26"/>
      <c r="R260" s="26"/>
      <c r="S260" s="26"/>
      <c r="T260" s="125">
        <v>42.333333332101276</v>
      </c>
      <c r="U260" s="125">
        <v>11.667505461900467</v>
      </c>
      <c r="V260" s="125">
        <v>4.2251870782003653E-2</v>
      </c>
      <c r="W260" s="125">
        <v>-1.3536308075224985E-2</v>
      </c>
    </row>
    <row r="261" spans="1:23">
      <c r="A261" s="6"/>
      <c r="B261" s="6"/>
      <c r="C261" s="125"/>
      <c r="D261" s="125"/>
      <c r="E261" s="26"/>
      <c r="F261" s="26"/>
      <c r="G261" s="26"/>
      <c r="H261" s="26"/>
      <c r="I261" s="26"/>
      <c r="J261" s="26"/>
      <c r="K261" s="26"/>
      <c r="L261" s="26"/>
      <c r="M261" s="26"/>
      <c r="N261" s="26"/>
      <c r="O261" s="26"/>
      <c r="P261" s="26"/>
      <c r="Q261" s="26"/>
      <c r="R261" s="26"/>
      <c r="S261" s="26"/>
      <c r="T261" s="125">
        <v>42.499999998763087</v>
      </c>
      <c r="U261" s="125">
        <v>11.674182030005506</v>
      </c>
      <c r="V261" s="125">
        <v>3.7923951372358544E-2</v>
      </c>
      <c r="W261" s="125">
        <v>-1.2432327168459717E-2</v>
      </c>
    </row>
    <row r="262" spans="1:23">
      <c r="A262" s="6"/>
      <c r="B262" s="6"/>
      <c r="C262" s="125"/>
      <c r="D262" s="125"/>
      <c r="E262" s="26"/>
      <c r="F262" s="26"/>
      <c r="G262" s="26"/>
      <c r="H262" s="26"/>
      <c r="I262" s="26"/>
      <c r="J262" s="26"/>
      <c r="K262" s="26"/>
      <c r="L262" s="26"/>
      <c r="M262" s="26"/>
      <c r="N262" s="26"/>
      <c r="O262" s="26"/>
      <c r="P262" s="26"/>
      <c r="Q262" s="26"/>
      <c r="R262" s="26"/>
      <c r="S262" s="26"/>
      <c r="T262" s="125">
        <v>42.666666665424906</v>
      </c>
      <c r="U262" s="125">
        <v>11.680167913980688</v>
      </c>
      <c r="V262" s="125">
        <v>3.3964029222055929E-2</v>
      </c>
      <c r="W262" s="125">
        <v>-1.1328314287292156E-2</v>
      </c>
    </row>
    <row r="263" spans="1:23">
      <c r="A263" s="6"/>
      <c r="B263" s="6"/>
      <c r="C263" s="125"/>
      <c r="D263" s="125"/>
      <c r="E263" s="26"/>
      <c r="F263" s="26"/>
      <c r="G263" s="26"/>
      <c r="H263" s="26"/>
      <c r="I263" s="26"/>
      <c r="J263" s="26"/>
      <c r="K263" s="26"/>
      <c r="L263" s="26"/>
      <c r="M263" s="26"/>
      <c r="N263" s="26"/>
      <c r="O263" s="26"/>
      <c r="P263" s="26"/>
      <c r="Q263" s="26"/>
      <c r="R263" s="26"/>
      <c r="S263" s="26"/>
      <c r="T263" s="125">
        <v>42.833333332086724</v>
      </c>
      <c r="U263" s="125">
        <v>11.685524446700049</v>
      </c>
      <c r="V263" s="125">
        <v>3.0372104309779529E-2</v>
      </c>
      <c r="W263" s="125">
        <v>-1.0224301406103779E-2</v>
      </c>
    </row>
    <row r="264" spans="1:23">
      <c r="A264" s="6"/>
      <c r="B264" s="6"/>
      <c r="C264" s="125"/>
      <c r="D264" s="125"/>
      <c r="E264" s="26"/>
      <c r="F264" s="26"/>
      <c r="G264" s="26"/>
      <c r="H264" s="26"/>
      <c r="I264" s="26"/>
      <c r="J264" s="26"/>
      <c r="K264" s="26"/>
      <c r="L264" s="26"/>
      <c r="M264" s="26"/>
      <c r="N264" s="26"/>
      <c r="O264" s="26"/>
      <c r="P264" s="26"/>
      <c r="Q264" s="26"/>
      <c r="R264" s="26"/>
      <c r="S264" s="26"/>
      <c r="T264" s="125">
        <v>42.999999998748535</v>
      </c>
      <c r="U264" s="125">
        <v>11.69031296103763</v>
      </c>
      <c r="V264" s="125">
        <v>2.7148176635529341E-2</v>
      </c>
      <c r="W264" s="125">
        <v>-9.1203524737824369E-3</v>
      </c>
    </row>
    <row r="265" spans="1:23">
      <c r="A265" s="6"/>
      <c r="B265" s="6"/>
      <c r="C265" s="125"/>
      <c r="D265" s="125"/>
      <c r="E265" s="26"/>
      <c r="F265" s="26"/>
      <c r="G265" s="26"/>
      <c r="H265" s="26"/>
      <c r="I265" s="26"/>
      <c r="J265" s="26"/>
      <c r="K265" s="26"/>
      <c r="L265" s="26"/>
      <c r="M265" s="26"/>
      <c r="N265" s="26"/>
      <c r="O265" s="26"/>
      <c r="P265" s="26"/>
      <c r="Q265" s="26"/>
      <c r="R265" s="26"/>
      <c r="S265" s="26"/>
      <c r="T265" s="125">
        <v>43.166666665410354</v>
      </c>
      <c r="U265" s="125">
        <v>11.694594789867468</v>
      </c>
      <c r="V265" s="125">
        <v>2.4292246209963512E-2</v>
      </c>
      <c r="W265" s="125">
        <v>-8.016339592604468E-3</v>
      </c>
    </row>
    <row r="266" spans="1:23">
      <c r="A266" s="6"/>
      <c r="B266" s="6"/>
      <c r="C266" s="125"/>
      <c r="D266" s="125"/>
      <c r="E266" s="26"/>
      <c r="F266" s="26"/>
      <c r="G266" s="26"/>
      <c r="H266" s="26"/>
      <c r="I266" s="26"/>
      <c r="J266" s="26"/>
      <c r="K266" s="26"/>
      <c r="L266" s="26"/>
      <c r="M266" s="26"/>
      <c r="N266" s="26"/>
      <c r="O266" s="26"/>
      <c r="P266" s="26"/>
      <c r="Q266" s="26"/>
      <c r="R266" s="26"/>
      <c r="S266" s="26"/>
      <c r="T266" s="125">
        <v>43.333333332072172</v>
      </c>
      <c r="U266" s="125">
        <v>11.698431266063599</v>
      </c>
      <c r="V266" s="125">
        <v>2.1804313033082039E-2</v>
      </c>
      <c r="W266" s="125">
        <v>-6.9123267114160909E-3</v>
      </c>
    </row>
    <row r="267" spans="1:23">
      <c r="A267" s="6"/>
      <c r="B267" s="6"/>
      <c r="C267" s="125"/>
      <c r="D267" s="125"/>
      <c r="E267" s="26"/>
      <c r="F267" s="26"/>
      <c r="G267" s="26"/>
      <c r="H267" s="26"/>
      <c r="I267" s="26"/>
      <c r="J267" s="26"/>
      <c r="K267" s="26"/>
      <c r="L267" s="26"/>
      <c r="M267" s="26"/>
      <c r="N267" s="26"/>
      <c r="O267" s="26"/>
      <c r="P267" s="26"/>
      <c r="Q267" s="26"/>
      <c r="R267" s="26"/>
      <c r="S267" s="26"/>
      <c r="T267" s="125">
        <v>43.499999998733983</v>
      </c>
      <c r="U267" s="125">
        <v>11.701883722500066</v>
      </c>
      <c r="V267" s="125">
        <v>1.9684377083568641E-2</v>
      </c>
      <c r="W267" s="125">
        <v>-5.8083777790843422E-3</v>
      </c>
    </row>
    <row r="268" spans="1:23">
      <c r="A268" s="6"/>
      <c r="B268" s="6"/>
      <c r="C268" s="125"/>
      <c r="D268" s="125"/>
      <c r="E268" s="26"/>
      <c r="F268" s="26"/>
      <c r="G268" s="26"/>
      <c r="H268" s="26"/>
      <c r="I268" s="26"/>
      <c r="J268" s="26"/>
      <c r="K268" s="26"/>
      <c r="L268" s="26"/>
      <c r="M268" s="26"/>
      <c r="N268" s="26"/>
      <c r="O268" s="26"/>
      <c r="P268" s="26"/>
      <c r="Q268" s="26"/>
      <c r="R268" s="26"/>
      <c r="S268" s="26"/>
      <c r="T268" s="125">
        <v>43.666666665395802</v>
      </c>
      <c r="U268" s="125">
        <v>11.705013492050902</v>
      </c>
      <c r="V268" s="125">
        <v>1.793243839339774E-2</v>
      </c>
      <c r="W268" s="125">
        <v>-4.7043968723294834E-3</v>
      </c>
    </row>
    <row r="269" spans="1:23">
      <c r="A269" s="6"/>
      <c r="B269" s="6"/>
      <c r="C269" s="125"/>
      <c r="D269" s="125"/>
      <c r="E269" s="26"/>
      <c r="F269" s="26"/>
      <c r="G269" s="26"/>
      <c r="H269" s="26"/>
      <c r="I269" s="26"/>
      <c r="J269" s="26"/>
      <c r="K269" s="26"/>
      <c r="L269" s="26"/>
      <c r="M269" s="26"/>
      <c r="N269" s="26"/>
      <c r="O269" s="26"/>
      <c r="P269" s="26"/>
      <c r="Q269" s="26"/>
      <c r="R269" s="26"/>
      <c r="S269" s="26"/>
      <c r="T269" s="125">
        <v>43.83333333205762</v>
      </c>
      <c r="U269" s="125">
        <v>11.707881907590147</v>
      </c>
      <c r="V269" s="125">
        <v>1.6548496951911192E-2</v>
      </c>
      <c r="W269" s="125">
        <v>-3.6003520167284041E-3</v>
      </c>
    </row>
    <row r="270" spans="1:23">
      <c r="A270" s="6"/>
      <c r="B270" s="6"/>
      <c r="C270" s="125"/>
      <c r="D270" s="125"/>
      <c r="E270" s="26"/>
      <c r="F270" s="26"/>
      <c r="G270" s="26"/>
      <c r="H270" s="26"/>
      <c r="I270" s="26"/>
      <c r="J270" s="26"/>
      <c r="K270" s="26"/>
      <c r="L270" s="26"/>
      <c r="M270" s="26"/>
      <c r="N270" s="26"/>
      <c r="O270" s="26"/>
      <c r="P270" s="26"/>
      <c r="Q270" s="26"/>
      <c r="R270" s="26"/>
      <c r="S270" s="26"/>
      <c r="T270" s="125">
        <v>43.999999998719431</v>
      </c>
      <c r="U270" s="125">
        <v>11.710550301991841</v>
      </c>
      <c r="V270" s="125">
        <v>1.5532552748450862E-2</v>
      </c>
      <c r="W270" s="125">
        <v>-2.4963711099735449E-3</v>
      </c>
    </row>
    <row r="271" spans="1:23">
      <c r="A271" s="6"/>
      <c r="B271" s="6"/>
      <c r="C271" s="125"/>
      <c r="D271" s="125"/>
      <c r="E271" s="26"/>
      <c r="F271" s="26"/>
      <c r="G271" s="26"/>
      <c r="H271" s="26"/>
      <c r="I271" s="26"/>
      <c r="J271" s="26"/>
      <c r="K271" s="26"/>
      <c r="L271" s="26"/>
      <c r="M271" s="26"/>
      <c r="N271" s="26"/>
      <c r="O271" s="26"/>
      <c r="P271" s="26"/>
      <c r="Q271" s="26"/>
      <c r="R271" s="26"/>
      <c r="S271" s="26"/>
      <c r="T271" s="125">
        <v>44.16666666538125</v>
      </c>
      <c r="U271" s="125">
        <v>11.713080008130021</v>
      </c>
      <c r="V271" s="125">
        <v>1.4884605783016746E-2</v>
      </c>
      <c r="W271" s="125">
        <v>-1.3923902032186859E-3</v>
      </c>
    </row>
    <row r="272" spans="1:23">
      <c r="A272" s="6"/>
      <c r="B272" s="6"/>
      <c r="C272" s="125"/>
      <c r="D272" s="125"/>
      <c r="E272" s="26"/>
      <c r="F272" s="26"/>
      <c r="G272" s="26"/>
      <c r="H272" s="26"/>
      <c r="I272" s="26"/>
      <c r="J272" s="26"/>
      <c r="K272" s="26"/>
      <c r="L272" s="26"/>
      <c r="M272" s="26"/>
      <c r="N272" s="26"/>
      <c r="O272" s="26"/>
      <c r="P272" s="26"/>
      <c r="Q272" s="26"/>
      <c r="R272" s="26"/>
      <c r="S272" s="26"/>
      <c r="T272" s="125">
        <v>44.333333332043068</v>
      </c>
      <c r="U272" s="125">
        <v>11.715532358878724</v>
      </c>
      <c r="V272" s="125">
        <v>1.4604656066266986E-2</v>
      </c>
      <c r="W272" s="125">
        <v>-2.8840929646382679E-4</v>
      </c>
    </row>
    <row r="273" spans="1:23">
      <c r="A273" s="6"/>
      <c r="B273" s="6"/>
      <c r="C273" s="125"/>
      <c r="D273" s="125"/>
      <c r="E273" s="26"/>
      <c r="F273" s="26"/>
      <c r="G273" s="26"/>
      <c r="H273" s="26"/>
      <c r="I273" s="26"/>
      <c r="J273" s="26"/>
      <c r="K273" s="26"/>
      <c r="L273" s="26"/>
      <c r="M273" s="26"/>
      <c r="N273" s="26"/>
      <c r="O273" s="26"/>
      <c r="P273" s="26"/>
      <c r="Q273" s="26"/>
      <c r="R273" s="26"/>
      <c r="S273" s="26"/>
      <c r="T273" s="125">
        <v>44.49999999870488</v>
      </c>
      <c r="U273" s="125">
        <v>11.717968687111989</v>
      </c>
      <c r="V273" s="125">
        <v>1.4692703587543442E-2</v>
      </c>
      <c r="W273" s="125">
        <v>8.1557161029623636E-4</v>
      </c>
    </row>
    <row r="274" spans="1:23">
      <c r="A274" s="6"/>
      <c r="B274" s="6"/>
      <c r="C274" s="125"/>
      <c r="D274" s="125"/>
      <c r="E274" s="26"/>
      <c r="F274" s="26"/>
      <c r="G274" s="26"/>
      <c r="H274" s="26"/>
      <c r="I274" s="26"/>
      <c r="J274" s="26"/>
      <c r="K274" s="26"/>
      <c r="L274" s="26"/>
      <c r="M274" s="26"/>
      <c r="N274" s="26"/>
      <c r="O274" s="26"/>
      <c r="P274" s="26"/>
      <c r="Q274" s="26"/>
      <c r="R274" s="26"/>
      <c r="S274" s="26"/>
      <c r="T274" s="125">
        <v>44.666666665366698</v>
      </c>
      <c r="U274" s="125">
        <v>11.720450325703855</v>
      </c>
      <c r="V274" s="125">
        <v>1.5148748368162395E-2</v>
      </c>
      <c r="W274" s="125">
        <v>1.9195844914742055E-3</v>
      </c>
    </row>
    <row r="275" spans="1:23">
      <c r="A275" s="6"/>
      <c r="B275" s="6"/>
      <c r="C275" s="125"/>
      <c r="D275" s="125"/>
      <c r="E275" s="26"/>
      <c r="F275" s="26"/>
      <c r="G275" s="26"/>
      <c r="H275" s="26"/>
      <c r="I275" s="26"/>
      <c r="J275" s="26"/>
      <c r="K275" s="26"/>
      <c r="L275" s="26"/>
      <c r="M275" s="26"/>
      <c r="N275" s="26"/>
      <c r="O275" s="26"/>
      <c r="P275" s="26"/>
      <c r="Q275" s="26"/>
      <c r="R275" s="26"/>
      <c r="S275" s="26"/>
      <c r="T275" s="125">
        <v>44.833333332028516</v>
      </c>
      <c r="U275" s="125">
        <v>11.723038607528357</v>
      </c>
      <c r="V275" s="125">
        <v>1.5972790386807562E-2</v>
      </c>
      <c r="W275" s="125">
        <v>3.0235973726573787E-3</v>
      </c>
    </row>
    <row r="276" spans="1:23">
      <c r="A276" s="6"/>
      <c r="B276" s="6"/>
      <c r="C276" s="125"/>
      <c r="D276" s="125"/>
      <c r="E276" s="26"/>
      <c r="F276" s="26"/>
      <c r="G276" s="26"/>
      <c r="H276" s="26"/>
      <c r="I276" s="26"/>
      <c r="J276" s="26"/>
      <c r="K276" s="26"/>
      <c r="L276" s="26"/>
      <c r="M276" s="26"/>
      <c r="N276" s="26"/>
      <c r="O276" s="26"/>
      <c r="P276" s="26"/>
      <c r="Q276" s="26"/>
      <c r="R276" s="26"/>
      <c r="S276" s="26"/>
      <c r="T276" s="125">
        <v>44.999999998690328</v>
      </c>
      <c r="U276" s="125">
        <v>11.725794865459537</v>
      </c>
      <c r="V276" s="125">
        <v>1.7164829643478943E-2</v>
      </c>
      <c r="W276" s="125">
        <v>4.1275782794018296E-3</v>
      </c>
    </row>
    <row r="277" spans="1:23">
      <c r="A277" s="6"/>
      <c r="B277" s="6"/>
      <c r="C277" s="125"/>
      <c r="D277" s="125"/>
      <c r="E277" s="26"/>
      <c r="F277" s="26"/>
      <c r="G277" s="26"/>
      <c r="H277" s="26"/>
      <c r="I277" s="26"/>
      <c r="J277" s="26"/>
      <c r="K277" s="26"/>
      <c r="L277" s="26"/>
      <c r="M277" s="26"/>
      <c r="N277" s="26"/>
      <c r="O277" s="26"/>
      <c r="P277" s="26"/>
      <c r="Q277" s="26"/>
      <c r="R277" s="26"/>
      <c r="S277" s="26"/>
      <c r="T277" s="125">
        <v>45.166666665352146</v>
      </c>
      <c r="U277" s="125">
        <v>11.728780432371433</v>
      </c>
      <c r="V277" s="125">
        <v>1.8724866148834684E-2</v>
      </c>
      <c r="W277" s="125">
        <v>5.2315272117439866E-3</v>
      </c>
    </row>
    <row r="278" spans="1:23">
      <c r="A278" s="6"/>
      <c r="B278" s="6"/>
      <c r="C278" s="125"/>
      <c r="D278" s="125"/>
      <c r="E278" s="26"/>
      <c r="F278" s="26"/>
      <c r="G278" s="26"/>
      <c r="H278" s="26"/>
      <c r="I278" s="26"/>
      <c r="J278" s="26"/>
      <c r="K278" s="26"/>
      <c r="L278" s="26"/>
      <c r="M278" s="26"/>
      <c r="N278" s="26"/>
      <c r="O278" s="26"/>
      <c r="P278" s="26"/>
      <c r="Q278" s="26"/>
      <c r="R278" s="26"/>
      <c r="S278" s="26"/>
      <c r="T278" s="125">
        <v>45.333333332013964</v>
      </c>
      <c r="U278" s="125">
        <v>11.732056135470193</v>
      </c>
      <c r="V278" s="125">
        <v>2.0626547073621892E-2</v>
      </c>
      <c r="W278" s="125">
        <v>5.8803522055052562E-3</v>
      </c>
    </row>
    <row r="279" spans="1:23">
      <c r="A279" s="6"/>
      <c r="B279" s="6"/>
      <c r="C279" s="125"/>
      <c r="D279" s="125"/>
      <c r="E279" s="26"/>
      <c r="F279" s="26"/>
      <c r="G279" s="26"/>
      <c r="H279" s="26"/>
      <c r="I279" s="26"/>
      <c r="J279" s="26"/>
      <c r="K279" s="26"/>
      <c r="L279" s="26"/>
      <c r="M279" s="26"/>
      <c r="N279" s="26"/>
      <c r="O279" s="26"/>
      <c r="P279" s="26"/>
      <c r="Q279" s="26"/>
      <c r="R279" s="26"/>
      <c r="S279" s="26"/>
      <c r="T279" s="125">
        <v>45.499999998675776</v>
      </c>
      <c r="U279" s="125">
        <v>11.735655129517195</v>
      </c>
      <c r="V279" s="125">
        <v>2.2551639148761432E-2</v>
      </c>
      <c r="W279" s="125">
        <v>5.6703441945178887E-3</v>
      </c>
    </row>
    <row r="280" spans="1:23">
      <c r="A280" s="6"/>
      <c r="B280" s="6"/>
      <c r="C280" s="125"/>
      <c r="D280" s="125"/>
      <c r="E280" s="26"/>
      <c r="F280" s="26"/>
      <c r="G280" s="26"/>
      <c r="H280" s="26"/>
      <c r="I280" s="26"/>
      <c r="J280" s="26"/>
      <c r="K280" s="26"/>
      <c r="L280" s="26"/>
      <c r="M280" s="26"/>
      <c r="N280" s="26"/>
      <c r="O280" s="26"/>
      <c r="P280" s="26"/>
      <c r="Q280" s="26"/>
      <c r="R280" s="26"/>
      <c r="S280" s="26"/>
      <c r="T280" s="125">
        <v>45.666666665337594</v>
      </c>
      <c r="U280" s="125">
        <v>11.73956914435847</v>
      </c>
      <c r="V280" s="125">
        <v>2.4406726613790182E-2</v>
      </c>
      <c r="W280" s="125">
        <v>5.4604001323767422E-3</v>
      </c>
    </row>
    <row r="281" spans="1:23">
      <c r="A281" s="6"/>
      <c r="B281" s="6"/>
      <c r="C281" s="125"/>
      <c r="D281" s="125"/>
      <c r="E281" s="26"/>
      <c r="F281" s="26"/>
      <c r="G281" s="26"/>
      <c r="H281" s="26"/>
      <c r="I281" s="26"/>
      <c r="J281" s="26"/>
      <c r="K281" s="26"/>
      <c r="L281" s="26"/>
      <c r="M281" s="26"/>
      <c r="N281" s="26"/>
      <c r="O281" s="26"/>
      <c r="P281" s="26"/>
      <c r="Q281" s="26"/>
      <c r="R281" s="26"/>
      <c r="S281" s="26"/>
      <c r="T281" s="125">
        <v>45.833333331999413</v>
      </c>
      <c r="U281" s="125">
        <v>11.743786512557195</v>
      </c>
      <c r="V281" s="125">
        <v>2.6191809447391856E-2</v>
      </c>
      <c r="W281" s="125">
        <v>5.2503921213789663E-3</v>
      </c>
    </row>
    <row r="282" spans="1:23">
      <c r="A282" s="6"/>
      <c r="B282" s="6"/>
      <c r="C282" s="125"/>
      <c r="D282" s="125"/>
      <c r="E282" s="26"/>
      <c r="F282" s="26"/>
      <c r="G282" s="26"/>
      <c r="H282" s="26"/>
      <c r="I282" s="26"/>
      <c r="J282" s="26"/>
      <c r="K282" s="26"/>
      <c r="L282" s="26"/>
      <c r="M282" s="26"/>
      <c r="N282" s="26"/>
      <c r="O282" s="26"/>
      <c r="P282" s="26"/>
      <c r="Q282" s="26"/>
      <c r="R282" s="26"/>
      <c r="S282" s="26"/>
      <c r="T282" s="125">
        <v>45.999999998661224</v>
      </c>
      <c r="U282" s="125">
        <v>11.748295566676546</v>
      </c>
      <c r="V282" s="125">
        <v>2.7906887649566458E-2</v>
      </c>
      <c r="W282" s="125">
        <v>5.0403201615349703E-3</v>
      </c>
    </row>
    <row r="283" spans="1:23">
      <c r="A283" s="6"/>
      <c r="B283" s="6"/>
      <c r="C283" s="125"/>
      <c r="D283" s="125"/>
      <c r="E283" s="26"/>
      <c r="F283" s="26"/>
      <c r="G283" s="26"/>
      <c r="H283" s="26"/>
      <c r="I283" s="26"/>
      <c r="J283" s="26"/>
      <c r="K283" s="26"/>
      <c r="L283" s="26"/>
      <c r="M283" s="26"/>
      <c r="N283" s="26"/>
      <c r="O283" s="26"/>
      <c r="P283" s="26"/>
      <c r="Q283" s="26"/>
      <c r="R283" s="26"/>
      <c r="S283" s="26"/>
      <c r="T283" s="125">
        <v>46.166666665323042</v>
      </c>
      <c r="U283" s="125">
        <v>11.753084639279695</v>
      </c>
      <c r="V283" s="125">
        <v>2.9551961241630269E-2</v>
      </c>
      <c r="W283" s="125">
        <v>4.8303441249707138E-3</v>
      </c>
    </row>
    <row r="284" spans="1:23">
      <c r="A284" s="6"/>
      <c r="B284" s="6"/>
      <c r="C284" s="125"/>
      <c r="D284" s="125"/>
      <c r="E284" s="26"/>
      <c r="F284" s="26"/>
      <c r="G284" s="26"/>
      <c r="H284" s="26"/>
      <c r="I284" s="26"/>
      <c r="J284" s="26"/>
      <c r="K284" s="26"/>
      <c r="L284" s="26"/>
      <c r="M284" s="26"/>
      <c r="N284" s="26"/>
      <c r="O284" s="26"/>
      <c r="P284" s="26"/>
      <c r="Q284" s="26"/>
      <c r="R284" s="26"/>
      <c r="S284" s="26"/>
      <c r="T284" s="125">
        <v>46.333333331984861</v>
      </c>
      <c r="U284" s="125">
        <v>11.758142062929821</v>
      </c>
      <c r="V284" s="125">
        <v>3.1127030202267005E-2</v>
      </c>
      <c r="W284" s="125">
        <v>4.6202721651267178E-3</v>
      </c>
    </row>
    <row r="285" spans="1:23">
      <c r="A285" s="6"/>
      <c r="B285" s="6"/>
      <c r="C285" s="125"/>
      <c r="D285" s="125"/>
      <c r="E285" s="26"/>
      <c r="F285" s="26"/>
      <c r="G285" s="26"/>
      <c r="H285" s="26"/>
      <c r="I285" s="26"/>
      <c r="J285" s="26"/>
      <c r="K285" s="26"/>
      <c r="L285" s="26"/>
      <c r="M285" s="26"/>
      <c r="N285" s="26"/>
      <c r="O285" s="26"/>
      <c r="P285" s="26"/>
      <c r="Q285" s="26"/>
      <c r="R285" s="26"/>
      <c r="S285" s="26"/>
      <c r="T285" s="125">
        <v>46.499999998646672</v>
      </c>
      <c r="U285" s="125">
        <v>11.763456170190095</v>
      </c>
      <c r="V285" s="125">
        <v>3.2632094552792951E-2</v>
      </c>
      <c r="W285" s="125">
        <v>4.4102641541289419E-3</v>
      </c>
    </row>
    <row r="286" spans="1:23">
      <c r="A286" s="6"/>
      <c r="B286" s="6"/>
      <c r="C286" s="125"/>
      <c r="D286" s="125"/>
      <c r="E286" s="26"/>
      <c r="F286" s="26"/>
      <c r="G286" s="26"/>
      <c r="H286" s="26"/>
      <c r="I286" s="26"/>
      <c r="J286" s="26"/>
      <c r="K286" s="26"/>
      <c r="L286" s="26"/>
      <c r="M286" s="26"/>
      <c r="N286" s="26"/>
      <c r="O286" s="26"/>
      <c r="P286" s="26"/>
      <c r="Q286" s="26"/>
      <c r="R286" s="26"/>
      <c r="S286" s="26"/>
      <c r="T286" s="125">
        <v>46.66666666530849</v>
      </c>
      <c r="U286" s="125">
        <v>11.769015293623694</v>
      </c>
      <c r="V286" s="125">
        <v>3.4067154282549965E-2</v>
      </c>
      <c r="W286" s="125">
        <v>4.2002561431207586E-3</v>
      </c>
    </row>
    <row r="287" spans="1:23">
      <c r="A287" s="6"/>
      <c r="B287" s="6"/>
      <c r="C287" s="125"/>
      <c r="D287" s="125"/>
      <c r="E287" s="26"/>
      <c r="F287" s="26"/>
      <c r="G287" s="26"/>
      <c r="H287" s="26"/>
      <c r="I287" s="26"/>
      <c r="J287" s="26"/>
      <c r="K287" s="26"/>
      <c r="L287" s="26"/>
      <c r="M287" s="26"/>
      <c r="N287" s="26"/>
      <c r="O287" s="26"/>
      <c r="P287" s="26"/>
      <c r="Q287" s="26"/>
      <c r="R287" s="26"/>
      <c r="S287" s="26"/>
      <c r="T287" s="125">
        <v>46.833333331970309</v>
      </c>
      <c r="U287" s="125">
        <v>11.774807765793792</v>
      </c>
      <c r="V287" s="125">
        <v>3.5432209391538051E-2</v>
      </c>
      <c r="W287" s="125">
        <v>3.9902801065773178E-3</v>
      </c>
    </row>
    <row r="288" spans="1:23">
      <c r="A288" s="6"/>
      <c r="B288" s="6"/>
      <c r="C288" s="125"/>
      <c r="D288" s="125"/>
      <c r="E288" s="26"/>
      <c r="F288" s="26"/>
      <c r="G288" s="26"/>
      <c r="H288" s="26"/>
      <c r="I288" s="26"/>
      <c r="J288" s="26"/>
      <c r="K288" s="26"/>
      <c r="L288" s="26"/>
      <c r="M288" s="26"/>
      <c r="N288" s="26"/>
      <c r="O288" s="26"/>
      <c r="P288" s="26"/>
      <c r="Q288" s="26"/>
      <c r="R288" s="26"/>
      <c r="S288" s="26"/>
      <c r="T288" s="125">
        <v>46.99999999863212</v>
      </c>
      <c r="U288" s="125">
        <v>11.780821919263564</v>
      </c>
      <c r="V288" s="125">
        <v>3.6727259879757203E-2</v>
      </c>
      <c r="W288" s="125">
        <v>3.7802720955899508E-3</v>
      </c>
    </row>
    <row r="289" spans="1:23">
      <c r="A289" s="6"/>
      <c r="B289" s="6"/>
      <c r="C289" s="125"/>
      <c r="D289" s="125"/>
      <c r="E289" s="26"/>
      <c r="F289" s="26"/>
      <c r="G289" s="26"/>
      <c r="H289" s="26"/>
      <c r="I289" s="26"/>
      <c r="J289" s="26"/>
      <c r="K289" s="26"/>
      <c r="L289" s="26"/>
      <c r="M289" s="26"/>
      <c r="N289" s="26"/>
      <c r="O289" s="26"/>
      <c r="P289" s="26"/>
      <c r="Q289" s="26"/>
      <c r="R289" s="26"/>
      <c r="S289" s="26"/>
      <c r="T289" s="125">
        <v>47.166666665293938</v>
      </c>
      <c r="U289" s="125">
        <v>11.787046086596188</v>
      </c>
      <c r="V289" s="125">
        <v>3.7952305736549279E-2</v>
      </c>
      <c r="W289" s="125">
        <v>3.5702321101586565E-3</v>
      </c>
    </row>
    <row r="290" spans="1:23">
      <c r="A290" s="6"/>
      <c r="B290" s="6"/>
      <c r="C290" s="125"/>
      <c r="D290" s="125"/>
      <c r="E290" s="26"/>
      <c r="F290" s="26"/>
      <c r="G290" s="26"/>
      <c r="H290" s="26"/>
      <c r="I290" s="26"/>
      <c r="J290" s="26"/>
      <c r="K290" s="26"/>
      <c r="L290" s="26"/>
      <c r="M290" s="26"/>
      <c r="N290" s="26"/>
      <c r="O290" s="26"/>
      <c r="P290" s="26"/>
      <c r="Q290" s="26"/>
      <c r="R290" s="26"/>
      <c r="S290" s="26"/>
      <c r="T290" s="125">
        <v>47.333333331955757</v>
      </c>
      <c r="U290" s="125">
        <v>11.793468600354835</v>
      </c>
      <c r="V290" s="125">
        <v>3.9107346983230561E-2</v>
      </c>
      <c r="W290" s="125">
        <v>3.3602240991504728E-3</v>
      </c>
    </row>
    <row r="291" spans="1:23">
      <c r="A291" s="6"/>
      <c r="B291" s="6"/>
      <c r="C291" s="125"/>
      <c r="D291" s="125"/>
      <c r="E291" s="26"/>
      <c r="F291" s="26"/>
      <c r="G291" s="26"/>
      <c r="H291" s="26"/>
      <c r="I291" s="26"/>
      <c r="J291" s="26"/>
      <c r="K291" s="26"/>
      <c r="L291" s="26"/>
      <c r="M291" s="26"/>
      <c r="N291" s="26"/>
      <c r="O291" s="26"/>
      <c r="P291" s="26"/>
      <c r="Q291" s="26"/>
      <c r="R291" s="26"/>
      <c r="S291" s="26"/>
      <c r="T291" s="125">
        <v>47.499999998617568</v>
      </c>
      <c r="U291" s="125">
        <v>11.800077793102682</v>
      </c>
      <c r="V291" s="125">
        <v>4.0192383609142915E-2</v>
      </c>
      <c r="W291" s="125">
        <v>3.1502480625862157E-3</v>
      </c>
    </row>
    <row r="292" spans="1:23">
      <c r="A292" s="6"/>
      <c r="B292" s="6"/>
      <c r="C292" s="125"/>
      <c r="D292" s="125"/>
      <c r="E292" s="26"/>
      <c r="F292" s="26"/>
      <c r="G292" s="26"/>
      <c r="H292" s="26"/>
      <c r="I292" s="26"/>
      <c r="J292" s="26"/>
      <c r="K292" s="26"/>
      <c r="L292" s="26"/>
      <c r="M292" s="26"/>
      <c r="N292" s="26"/>
      <c r="O292" s="26"/>
      <c r="P292" s="26"/>
      <c r="Q292" s="26"/>
      <c r="R292" s="26"/>
      <c r="S292" s="26"/>
      <c r="T292" s="125">
        <v>47.666666665279386</v>
      </c>
      <c r="U292" s="125">
        <v>11.806861997402905</v>
      </c>
      <c r="V292" s="125">
        <v>4.1207415614286341E-2</v>
      </c>
      <c r="W292" s="125">
        <v>2.9402400515988482E-3</v>
      </c>
    </row>
    <row r="293" spans="1:23">
      <c r="A293" s="6"/>
      <c r="B293" s="6"/>
      <c r="C293" s="125"/>
      <c r="D293" s="125"/>
      <c r="E293" s="26"/>
      <c r="F293" s="26"/>
      <c r="G293" s="26"/>
      <c r="H293" s="26"/>
      <c r="I293" s="26"/>
      <c r="J293" s="26"/>
      <c r="K293" s="26"/>
      <c r="L293" s="26"/>
      <c r="M293" s="26"/>
      <c r="N293" s="26"/>
      <c r="O293" s="26"/>
      <c r="P293" s="26"/>
      <c r="Q293" s="26"/>
      <c r="R293" s="26"/>
      <c r="S293" s="26"/>
      <c r="T293" s="125">
        <v>47.833333331941205</v>
      </c>
      <c r="U293" s="125">
        <v>11.813809545818678</v>
      </c>
      <c r="V293" s="125">
        <v>4.2152442988002685E-2</v>
      </c>
      <c r="W293" s="125">
        <v>2.7301680917444443E-3</v>
      </c>
    </row>
    <row r="294" spans="1:23">
      <c r="A294" s="6"/>
      <c r="B294" s="6"/>
      <c r="C294" s="125"/>
      <c r="D294" s="125"/>
      <c r="E294" s="26"/>
      <c r="F294" s="26"/>
      <c r="G294" s="26"/>
      <c r="H294" s="26"/>
      <c r="I294" s="26"/>
      <c r="J294" s="26"/>
      <c r="K294" s="26"/>
      <c r="L294" s="26"/>
      <c r="M294" s="26"/>
      <c r="N294" s="26"/>
      <c r="O294" s="26"/>
      <c r="P294" s="26"/>
      <c r="Q294" s="26"/>
      <c r="R294" s="26"/>
      <c r="S294" s="26"/>
      <c r="T294" s="125">
        <v>47.999999998603016</v>
      </c>
      <c r="U294" s="125">
        <v>11.820908770913174</v>
      </c>
      <c r="V294" s="125">
        <v>4.3027465740950108E-2</v>
      </c>
      <c r="W294" s="125">
        <v>2.5201600807778935E-3</v>
      </c>
    </row>
    <row r="295" spans="1:23">
      <c r="A295" s="6"/>
      <c r="B295" s="6"/>
      <c r="C295" s="125"/>
      <c r="D295" s="125"/>
      <c r="E295" s="26"/>
      <c r="F295" s="26"/>
      <c r="G295" s="26"/>
      <c r="H295" s="26"/>
      <c r="I295" s="26"/>
      <c r="J295" s="26"/>
      <c r="K295" s="26"/>
      <c r="L295" s="26"/>
      <c r="M295" s="26"/>
      <c r="N295" s="26"/>
      <c r="O295" s="26"/>
      <c r="P295" s="26"/>
      <c r="Q295" s="26"/>
      <c r="R295" s="26"/>
      <c r="S295" s="26"/>
      <c r="T295" s="125">
        <v>48.166666665264835</v>
      </c>
      <c r="U295" s="125">
        <v>11.82814800524957</v>
      </c>
      <c r="V295" s="125">
        <v>4.3832483894444871E-2</v>
      </c>
      <c r="W295" s="125">
        <v>2.3101840441928198E-3</v>
      </c>
    </row>
    <row r="296" spans="1:23">
      <c r="A296" s="6"/>
      <c r="B296" s="6"/>
      <c r="C296" s="125"/>
      <c r="D296" s="125"/>
      <c r="E296" s="26"/>
      <c r="F296" s="26"/>
      <c r="G296" s="26"/>
      <c r="H296" s="26"/>
      <c r="I296" s="26"/>
      <c r="J296" s="26"/>
      <c r="K296" s="26"/>
      <c r="L296" s="26"/>
      <c r="M296" s="26"/>
      <c r="N296" s="26"/>
      <c r="O296" s="26"/>
      <c r="P296" s="26"/>
      <c r="Q296" s="26"/>
      <c r="R296" s="26"/>
      <c r="S296" s="26"/>
      <c r="T296" s="125">
        <v>48.333333331926653</v>
      </c>
      <c r="U296" s="125">
        <v>11.835515581391043</v>
      </c>
      <c r="V296" s="125">
        <v>4.4567497405854424E-2</v>
      </c>
      <c r="W296" s="125">
        <v>2.1001440587823427E-3</v>
      </c>
    </row>
    <row r="297" spans="1:23">
      <c r="A297" s="6"/>
      <c r="B297" s="6"/>
      <c r="C297" s="125"/>
      <c r="D297" s="125"/>
      <c r="E297" s="26"/>
      <c r="F297" s="26"/>
      <c r="G297" s="26"/>
      <c r="H297" s="26"/>
      <c r="I297" s="26"/>
      <c r="J297" s="26"/>
      <c r="K297" s="26"/>
      <c r="L297" s="26"/>
      <c r="M297" s="26"/>
      <c r="N297" s="26"/>
      <c r="O297" s="26"/>
      <c r="P297" s="26"/>
      <c r="Q297" s="26"/>
      <c r="R297" s="26"/>
      <c r="S297" s="26"/>
      <c r="T297" s="125">
        <v>48.499999998588464</v>
      </c>
      <c r="U297" s="125">
        <v>11.842999831900764</v>
      </c>
      <c r="V297" s="125">
        <v>4.5232506296495043E-2</v>
      </c>
      <c r="W297" s="125">
        <v>1.8901040733718651E-3</v>
      </c>
    </row>
    <row r="298" spans="1:23">
      <c r="A298" s="6"/>
      <c r="B298" s="6"/>
      <c r="C298" s="125"/>
      <c r="D298" s="125"/>
      <c r="E298" s="26"/>
      <c r="F298" s="26"/>
      <c r="G298" s="26"/>
      <c r="H298" s="26"/>
      <c r="I298" s="26"/>
      <c r="J298" s="26"/>
      <c r="K298" s="26"/>
      <c r="L298" s="26"/>
      <c r="M298" s="26"/>
      <c r="N298" s="26"/>
      <c r="O298" s="26"/>
      <c r="P298" s="26"/>
      <c r="Q298" s="26"/>
      <c r="R298" s="26"/>
      <c r="S298" s="26"/>
      <c r="T298" s="125">
        <v>48.666666665250283</v>
      </c>
      <c r="U298" s="125">
        <v>11.850589089341909</v>
      </c>
      <c r="V298" s="125">
        <v>4.5827510577024874E-2</v>
      </c>
      <c r="W298" s="125">
        <v>1.6801280368076081E-3</v>
      </c>
    </row>
    <row r="299" spans="1:23">
      <c r="A299" s="6"/>
      <c r="B299" s="6"/>
      <c r="C299" s="125"/>
      <c r="D299" s="125"/>
      <c r="E299" s="26"/>
      <c r="F299" s="26"/>
      <c r="G299" s="26"/>
      <c r="H299" s="26"/>
      <c r="I299" s="26"/>
      <c r="J299" s="26"/>
      <c r="K299" s="26"/>
      <c r="L299" s="26"/>
      <c r="M299" s="26"/>
      <c r="N299" s="26"/>
      <c r="O299" s="26"/>
      <c r="P299" s="26"/>
      <c r="Q299" s="26"/>
      <c r="R299" s="26"/>
      <c r="S299" s="26"/>
      <c r="T299" s="125">
        <v>48.833333331912101</v>
      </c>
      <c r="U299" s="125">
        <v>11.858271686277655</v>
      </c>
      <c r="V299" s="125">
        <v>4.6352510236785771E-2</v>
      </c>
      <c r="W299" s="125">
        <v>1.4701200257994241E-3</v>
      </c>
    </row>
    <row r="300" spans="1:23">
      <c r="A300" s="6"/>
      <c r="B300" s="6"/>
      <c r="C300" s="125"/>
      <c r="D300" s="125"/>
      <c r="E300" s="26"/>
      <c r="F300" s="26"/>
      <c r="G300" s="26"/>
      <c r="H300" s="26"/>
      <c r="I300" s="26"/>
      <c r="J300" s="26"/>
      <c r="K300" s="26"/>
      <c r="L300" s="26"/>
      <c r="M300" s="26"/>
      <c r="N300" s="26"/>
      <c r="O300" s="26"/>
      <c r="P300" s="26"/>
      <c r="Q300" s="26"/>
      <c r="R300" s="26"/>
      <c r="S300" s="26"/>
      <c r="T300" s="125">
        <v>48.999999998573912</v>
      </c>
      <c r="U300" s="125">
        <v>11.866035955271176</v>
      </c>
      <c r="V300" s="125">
        <v>4.6807505265119592E-2</v>
      </c>
      <c r="W300" s="125">
        <v>1.260112014812057E-3</v>
      </c>
    </row>
    <row r="301" spans="1:23">
      <c r="A301" s="6"/>
      <c r="B301" s="6"/>
      <c r="C301" s="125"/>
      <c r="D301" s="125"/>
      <c r="E301" s="26"/>
      <c r="F301" s="26"/>
      <c r="G301" s="26"/>
      <c r="H301" s="26"/>
      <c r="I301" s="26"/>
      <c r="J301" s="26"/>
      <c r="K301" s="26"/>
      <c r="L301" s="26"/>
      <c r="M301" s="26"/>
      <c r="N301" s="26"/>
      <c r="O301" s="26"/>
      <c r="P301" s="26"/>
      <c r="Q301" s="26"/>
      <c r="R301" s="26"/>
      <c r="S301" s="26"/>
      <c r="T301" s="125">
        <v>49.166666665235731</v>
      </c>
      <c r="U301" s="125">
        <v>11.873870228885648</v>
      </c>
      <c r="V301" s="125">
        <v>4.7192495672684485E-2</v>
      </c>
      <c r="W301" s="125">
        <v>1.0500400549784694E-3</v>
      </c>
    </row>
    <row r="302" spans="1:23">
      <c r="A302" s="6"/>
      <c r="B302" s="6"/>
      <c r="C302" s="125"/>
      <c r="D302" s="125"/>
      <c r="E302" s="26"/>
      <c r="F302" s="26"/>
      <c r="G302" s="26"/>
      <c r="H302" s="26"/>
      <c r="I302" s="26"/>
      <c r="J302" s="26"/>
      <c r="K302" s="26"/>
      <c r="L302" s="26"/>
      <c r="M302" s="26"/>
      <c r="N302" s="26"/>
      <c r="O302" s="26"/>
      <c r="P302" s="26"/>
      <c r="Q302" s="26"/>
      <c r="R302" s="26"/>
      <c r="S302" s="26"/>
      <c r="T302" s="125">
        <v>49.333333331897549</v>
      </c>
      <c r="U302" s="125">
        <v>11.881762839684244</v>
      </c>
      <c r="V302" s="125">
        <v>4.7507481470138585E-2</v>
      </c>
      <c r="W302" s="125">
        <v>8.4006401839339571E-4</v>
      </c>
    </row>
    <row r="303" spans="1:23">
      <c r="A303" s="6"/>
      <c r="B303" s="6"/>
      <c r="C303" s="125"/>
      <c r="D303" s="125"/>
      <c r="E303" s="26"/>
      <c r="F303" s="26"/>
      <c r="G303" s="26"/>
      <c r="H303" s="26"/>
      <c r="I303" s="26"/>
      <c r="J303" s="26"/>
      <c r="K303" s="26"/>
      <c r="L303" s="26"/>
      <c r="M303" s="26"/>
      <c r="N303" s="26"/>
      <c r="O303" s="26"/>
      <c r="P303" s="26"/>
      <c r="Q303" s="26"/>
      <c r="R303" s="26"/>
      <c r="S303" s="26"/>
      <c r="T303" s="125">
        <v>49.49999999855936</v>
      </c>
      <c r="U303" s="125">
        <v>11.889702120230139</v>
      </c>
      <c r="V303" s="125">
        <v>4.775246264682375E-2</v>
      </c>
      <c r="W303" s="125">
        <v>6.3008798180832191E-4</v>
      </c>
    </row>
    <row r="304" spans="1:23">
      <c r="A304" s="6"/>
      <c r="B304" s="6"/>
      <c r="C304" s="125"/>
      <c r="D304" s="125"/>
      <c r="E304" s="26"/>
      <c r="F304" s="26"/>
      <c r="G304" s="26"/>
      <c r="H304" s="26"/>
      <c r="I304" s="26"/>
      <c r="J304" s="26"/>
      <c r="K304" s="26"/>
      <c r="L304" s="26"/>
      <c r="M304" s="26"/>
      <c r="N304" s="26"/>
      <c r="O304" s="26"/>
      <c r="P304" s="26"/>
      <c r="Q304" s="26"/>
      <c r="R304" s="26"/>
      <c r="S304" s="26"/>
      <c r="T304" s="125">
        <v>49.666666665221179</v>
      </c>
      <c r="U304" s="125">
        <v>11.897676403086511</v>
      </c>
      <c r="V304" s="125">
        <v>4.7927439192081846E-2</v>
      </c>
      <c r="W304" s="125">
        <v>4.2001602197473442E-4</v>
      </c>
    </row>
    <row r="305" spans="1:23">
      <c r="A305" s="6"/>
      <c r="B305" s="6"/>
      <c r="C305" s="125"/>
      <c r="D305" s="125"/>
      <c r="E305" s="26"/>
      <c r="F305" s="26"/>
      <c r="G305" s="26"/>
      <c r="H305" s="26"/>
      <c r="I305" s="26"/>
      <c r="J305" s="26"/>
      <c r="K305" s="26"/>
      <c r="L305" s="26"/>
      <c r="M305" s="26"/>
      <c r="N305" s="26"/>
      <c r="O305" s="26"/>
      <c r="P305" s="26"/>
      <c r="Q305" s="26"/>
      <c r="R305" s="26"/>
      <c r="S305" s="26"/>
      <c r="T305" s="125">
        <v>49.833333331882997</v>
      </c>
      <c r="U305" s="125">
        <v>11.90567402081653</v>
      </c>
      <c r="V305" s="125">
        <v>4.8032411127229155E-2</v>
      </c>
      <c r="W305" s="125">
        <v>2.1003998543129405E-4</v>
      </c>
    </row>
    <row r="306" spans="1:23">
      <c r="A306" s="6"/>
      <c r="B306" s="6"/>
      <c r="C306" s="125"/>
      <c r="D306" s="125"/>
      <c r="E306" s="26"/>
      <c r="F306" s="26"/>
      <c r="G306" s="26"/>
      <c r="H306" s="26"/>
      <c r="I306" s="26"/>
      <c r="J306" s="26"/>
      <c r="K306" s="26"/>
      <c r="L306" s="26"/>
      <c r="M306" s="26"/>
      <c r="N306" s="26"/>
      <c r="O306" s="26"/>
      <c r="P306" s="26"/>
      <c r="Q306" s="26"/>
      <c r="R306" s="26"/>
      <c r="S306" s="26"/>
      <c r="T306" s="125">
        <v>49.999999998544808</v>
      </c>
      <c r="U306" s="125">
        <v>11.913683305983376</v>
      </c>
      <c r="V306" s="125">
        <v>4.8067378430949381E-2</v>
      </c>
      <c r="W306" s="125">
        <v>0</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sheetPr codeName="Plan3"/>
  <dimension ref="A1:BA202"/>
  <sheetViews>
    <sheetView zoomScale="85" zoomScaleNormal="85" workbookViewId="0"/>
  </sheetViews>
  <sheetFormatPr defaultRowHeight="12.75"/>
  <cols>
    <col min="1" max="1" width="13.7109375" style="5" customWidth="1"/>
    <col min="2" max="2" width="14.7109375" style="5" customWidth="1"/>
    <col min="3" max="7" width="14.7109375" customWidth="1"/>
    <col min="8" max="8" width="19.85546875" customWidth="1"/>
    <col min="9" max="9" width="15.28515625" customWidth="1"/>
    <col min="10" max="12" width="15.85546875" customWidth="1"/>
    <col min="13" max="13" width="16.5703125" customWidth="1"/>
    <col min="14" max="16" width="15.7109375" customWidth="1"/>
    <col min="17" max="17" width="16" customWidth="1"/>
    <col min="18" max="18" width="16.85546875" customWidth="1"/>
    <col min="19" max="19" width="14" customWidth="1"/>
    <col min="20" max="20" width="14.28515625" customWidth="1"/>
    <col min="21" max="21" width="14.7109375" customWidth="1"/>
    <col min="22" max="22" width="12.7109375" style="1" customWidth="1"/>
    <col min="23" max="25" width="12.7109375" customWidth="1"/>
    <col min="26" max="26" width="12.7109375" style="1" customWidth="1"/>
    <col min="27" max="31" width="12.7109375" customWidth="1"/>
    <col min="32" max="32" width="18.42578125" customWidth="1"/>
    <col min="33" max="37" width="12.7109375" customWidth="1"/>
    <col min="38" max="38" width="12.7109375" style="10" customWidth="1"/>
    <col min="39" max="39" width="10.85546875" customWidth="1"/>
    <col min="40" max="40" width="10.140625" customWidth="1"/>
    <col min="41" max="41" width="10.28515625" customWidth="1"/>
    <col min="42" max="51" width="10.7109375" customWidth="1"/>
  </cols>
  <sheetData>
    <row r="1" spans="1:51" ht="24" customHeight="1">
      <c r="A1" s="126"/>
      <c r="B1" s="88" t="s">
        <v>606</v>
      </c>
      <c r="C1" s="411"/>
      <c r="D1" s="411"/>
      <c r="E1" s="411"/>
      <c r="F1" s="412"/>
      <c r="G1" s="559" t="s">
        <v>754</v>
      </c>
      <c r="H1" s="413"/>
      <c r="I1" s="413"/>
      <c r="J1" s="321"/>
      <c r="K1" s="356" t="s">
        <v>0</v>
      </c>
      <c r="L1" s="215"/>
      <c r="M1" s="215"/>
      <c r="N1" s="403" t="s">
        <v>645</v>
      </c>
      <c r="O1" s="403"/>
      <c r="P1" s="403"/>
      <c r="Q1" s="215"/>
      <c r="R1" s="215"/>
      <c r="S1" s="215"/>
      <c r="T1" s="215"/>
      <c r="U1" s="325" t="s">
        <v>1</v>
      </c>
      <c r="V1" s="395"/>
      <c r="W1" s="217"/>
      <c r="X1" s="217"/>
      <c r="Y1" s="217"/>
      <c r="Z1" s="101"/>
      <c r="AA1" s="101"/>
      <c r="AB1" s="314"/>
      <c r="AC1" s="305"/>
      <c r="AD1" s="304"/>
      <c r="AE1" s="306"/>
      <c r="AF1" s="321" t="s">
        <v>688</v>
      </c>
      <c r="AG1" s="215"/>
      <c r="AH1" s="215"/>
      <c r="AI1" s="215"/>
      <c r="AJ1" s="215"/>
      <c r="AK1" s="215"/>
      <c r="AL1" s="215"/>
      <c r="AM1" s="218"/>
      <c r="AN1" s="57"/>
      <c r="AO1" s="57"/>
      <c r="AP1" s="1107" t="s">
        <v>1074</v>
      </c>
      <c r="AQ1" s="1108"/>
      <c r="AR1" s="1108"/>
      <c r="AS1" s="1108"/>
      <c r="AT1" s="1108"/>
      <c r="AU1" s="1108"/>
      <c r="AV1" s="1108"/>
      <c r="AW1" s="1108"/>
      <c r="AX1" s="1108"/>
      <c r="AY1" s="1108"/>
    </row>
    <row r="2" spans="1:51" s="15" customFormat="1" ht="18" customHeight="1" thickBot="1">
      <c r="A2" s="1047" t="s">
        <v>1036</v>
      </c>
      <c r="B2" s="1020"/>
      <c r="C2" s="1021"/>
      <c r="D2" s="1021"/>
      <c r="E2" s="1021"/>
      <c r="F2" s="1021"/>
      <c r="G2" s="1021"/>
      <c r="H2" s="1021"/>
      <c r="I2" s="1022"/>
      <c r="J2" s="27"/>
      <c r="K2" s="358">
        <v>62</v>
      </c>
      <c r="L2" s="357">
        <v>103</v>
      </c>
      <c r="M2" s="357">
        <v>31</v>
      </c>
      <c r="N2" s="357">
        <v>1</v>
      </c>
      <c r="O2" s="357">
        <v>2</v>
      </c>
      <c r="P2" s="357">
        <v>3</v>
      </c>
      <c r="Q2" s="357">
        <v>6</v>
      </c>
      <c r="R2" s="359"/>
      <c r="S2" s="198" t="s">
        <v>605</v>
      </c>
      <c r="T2" s="199"/>
      <c r="U2" s="310"/>
      <c r="V2" s="196" t="s">
        <v>602</v>
      </c>
      <c r="W2" s="200"/>
      <c r="X2" s="49"/>
      <c r="Y2" s="49"/>
      <c r="Z2" s="197"/>
      <c r="AA2" s="198"/>
      <c r="AB2" s="199"/>
      <c r="AC2" s="196" t="s">
        <v>605</v>
      </c>
      <c r="AD2" s="199"/>
      <c r="AE2" s="201"/>
      <c r="AF2" s="207"/>
      <c r="AG2" s="241" t="s">
        <v>603</v>
      </c>
      <c r="AH2" s="303" t="s">
        <v>689</v>
      </c>
      <c r="AI2" s="49"/>
      <c r="AJ2" s="49"/>
      <c r="AK2" s="197"/>
      <c r="AL2" s="198"/>
      <c r="AM2" s="201"/>
      <c r="AN2" s="26"/>
      <c r="AO2" s="26"/>
      <c r="AP2" s="1107" t="s">
        <v>1075</v>
      </c>
      <c r="AQ2" s="1108"/>
      <c r="AR2" s="1108"/>
      <c r="AS2" s="1108"/>
      <c r="AT2" s="1108"/>
      <c r="AU2" s="1108"/>
      <c r="AV2" s="1108"/>
      <c r="AW2" s="1108"/>
      <c r="AX2" s="1108"/>
      <c r="AY2" s="1108"/>
    </row>
    <row r="3" spans="1:51" s="139" customFormat="1" ht="30.75" customHeight="1" thickTop="1">
      <c r="A3" s="1019" t="s">
        <v>1033</v>
      </c>
      <c r="B3" s="834" t="str">
        <f>K3</f>
        <v>Citric acid</v>
      </c>
      <c r="C3" s="834" t="str">
        <f t="shared" ref="C3:H3" si="0">L3</f>
        <v>Glycine</v>
      </c>
      <c r="D3" s="834" t="str">
        <f t="shared" si="0"/>
        <v xml:space="preserve">Ascorbic acid </v>
      </c>
      <c r="E3" s="834" t="str">
        <f t="shared" si="0"/>
        <v>Acetic acid</v>
      </c>
      <c r="F3" s="834" t="str">
        <f t="shared" si="0"/>
        <v>Ammonia</v>
      </c>
      <c r="G3" s="834" t="str">
        <f t="shared" si="0"/>
        <v>Carbonic acid</v>
      </c>
      <c r="H3" s="835" t="str">
        <f t="shared" si="0"/>
        <v>HCl</v>
      </c>
      <c r="I3" s="564"/>
      <c r="J3" s="365" t="s">
        <v>593</v>
      </c>
      <c r="K3" s="263" t="s">
        <v>134</v>
      </c>
      <c r="L3" s="263" t="s">
        <v>185</v>
      </c>
      <c r="M3" s="263" t="s">
        <v>42</v>
      </c>
      <c r="N3" s="263" t="s">
        <v>127</v>
      </c>
      <c r="O3" s="263" t="s">
        <v>128</v>
      </c>
      <c r="P3" s="263" t="s">
        <v>159</v>
      </c>
      <c r="Q3" s="263" t="s">
        <v>326</v>
      </c>
      <c r="R3" s="269" t="s">
        <v>641</v>
      </c>
      <c r="S3" s="270" t="s">
        <v>642</v>
      </c>
      <c r="T3" s="307" t="s">
        <v>607</v>
      </c>
      <c r="U3" s="30" t="s">
        <v>593</v>
      </c>
      <c r="V3" s="212" t="str">
        <f t="shared" ref="V3:AE3" si="1">K3</f>
        <v>Citric acid</v>
      </c>
      <c r="W3" s="212" t="str">
        <f t="shared" si="1"/>
        <v>Glycine</v>
      </c>
      <c r="X3" s="212" t="str">
        <f t="shared" si="1"/>
        <v xml:space="preserve">Ascorbic acid </v>
      </c>
      <c r="Y3" s="212" t="str">
        <f t="shared" si="1"/>
        <v>Acetic acid</v>
      </c>
      <c r="Z3" s="212" t="str">
        <f t="shared" si="1"/>
        <v>Ammonia</v>
      </c>
      <c r="AA3" s="212" t="str">
        <f t="shared" si="1"/>
        <v>Carbonic acid</v>
      </c>
      <c r="AB3" s="212" t="str">
        <f t="shared" si="1"/>
        <v>HCl</v>
      </c>
      <c r="AC3" s="193" t="str">
        <f t="shared" si="1"/>
        <v>Strong ACID</v>
      </c>
      <c r="AD3" s="194" t="str">
        <f t="shared" si="1"/>
        <v>Strong BASE</v>
      </c>
      <c r="AE3" s="195" t="str">
        <f t="shared" si="1"/>
        <v>Carbonic ac.</v>
      </c>
      <c r="AF3" s="30" t="s">
        <v>593</v>
      </c>
      <c r="AG3" s="212" t="str">
        <f>IF(VLOOKUP(K$2,Database!$B$22:$N$301,2)="","",VLOOKUP(K$2,Database!$B$22:$N$301,2))</f>
        <v>Citric acid</v>
      </c>
      <c r="AH3" s="212" t="str">
        <f>IF(VLOOKUP(L$2,Database!$B$22:$N$301,2)="","",VLOOKUP(L$2,Database!$B$22:$N$301,2))</f>
        <v>Glycine</v>
      </c>
      <c r="AI3" s="212" t="str">
        <f>IF(VLOOKUP(M$2,Database!$B$22:$N$301,2)="","",VLOOKUP(M$2,Database!$B$22:$N$301,2))</f>
        <v xml:space="preserve">Ascorbic acid </v>
      </c>
      <c r="AJ3" s="212" t="str">
        <f>IF(VLOOKUP(N$2,Database!$B$22:$N$301,2)="","",VLOOKUP(N$2,Database!$B$22:$N$301,2))</f>
        <v>Acetic acid</v>
      </c>
      <c r="AK3" s="212" t="str">
        <f>IF(VLOOKUP(O$2,Database!$B$22:$N$301,2)="","",VLOOKUP(O$2,Database!$B$22:$N$301,2))</f>
        <v>Ammonia</v>
      </c>
      <c r="AL3" s="212" t="str">
        <f>IF(VLOOKUP(P$2,Database!$B$22:$N$301,2)="","",VLOOKUP(P$2,Database!$B$22:$N$301,2))</f>
        <v>Carbonic acid</v>
      </c>
      <c r="AM3" s="233" t="str">
        <f>IF(VLOOKUP(Q$2,Database!$B$22:$N$301,2)="","",VLOOKUP(Q$2,Database!$B$22:$N$301,2))</f>
        <v>HCl</v>
      </c>
      <c r="AN3" s="26"/>
      <c r="AO3" s="26"/>
      <c r="AP3" s="1107" t="s">
        <v>1076</v>
      </c>
      <c r="AQ3" s="1108"/>
      <c r="AR3" s="1108"/>
      <c r="AS3" s="1108"/>
      <c r="AT3" s="1108"/>
      <c r="AU3" s="1108"/>
      <c r="AV3" s="1108"/>
      <c r="AW3" s="1108"/>
      <c r="AX3" s="1108"/>
      <c r="AY3" s="1108"/>
    </row>
    <row r="4" spans="1:51" ht="15" customHeight="1">
      <c r="A4" s="868" t="s">
        <v>332</v>
      </c>
      <c r="B4" s="804">
        <f t="shared" ref="B4:H4" si="2">IF(K5="",0,(B$11)/M$41)</f>
        <v>1.2099340361430618E-7</v>
      </c>
      <c r="C4" s="804">
        <f t="shared" si="2"/>
        <v>4.2775185398555404E-9</v>
      </c>
      <c r="D4" s="804">
        <f t="shared" si="2"/>
        <v>0</v>
      </c>
      <c r="E4" s="804">
        <f t="shared" si="2"/>
        <v>0</v>
      </c>
      <c r="F4" s="804">
        <f t="shared" si="2"/>
        <v>0</v>
      </c>
      <c r="G4" s="804">
        <f t="shared" si="2"/>
        <v>0</v>
      </c>
      <c r="H4" s="804">
        <f t="shared" si="2"/>
        <v>0</v>
      </c>
      <c r="I4" s="564"/>
      <c r="J4" s="222" t="s">
        <v>594</v>
      </c>
      <c r="K4" s="257">
        <v>-3</v>
      </c>
      <c r="L4" s="257">
        <v>-1</v>
      </c>
      <c r="M4" s="257">
        <v>-2</v>
      </c>
      <c r="N4" s="257">
        <v>-1</v>
      </c>
      <c r="O4" s="257">
        <v>0</v>
      </c>
      <c r="P4" s="257">
        <v>-2</v>
      </c>
      <c r="Q4" s="257">
        <v>-1</v>
      </c>
      <c r="R4" s="272">
        <v>-1</v>
      </c>
      <c r="S4" s="273">
        <v>-1</v>
      </c>
      <c r="T4" s="308">
        <v>-2</v>
      </c>
      <c r="U4" s="222" t="s">
        <v>594</v>
      </c>
      <c r="V4" s="235">
        <f>IF(K4="","",K4)</f>
        <v>-3</v>
      </c>
      <c r="W4" s="235">
        <f t="shared" ref="W4:AE4" si="3">IF(L4="","",L4)</f>
        <v>-1</v>
      </c>
      <c r="X4" s="235">
        <f t="shared" si="3"/>
        <v>-2</v>
      </c>
      <c r="Y4" s="235">
        <f t="shared" si="3"/>
        <v>-1</v>
      </c>
      <c r="Z4" s="235">
        <f t="shared" si="3"/>
        <v>0</v>
      </c>
      <c r="AA4" s="235">
        <f t="shared" si="3"/>
        <v>-2</v>
      </c>
      <c r="AB4" s="235">
        <f t="shared" si="3"/>
        <v>-1</v>
      </c>
      <c r="AC4" s="235">
        <f t="shared" si="3"/>
        <v>-1</v>
      </c>
      <c r="AD4" s="235">
        <f t="shared" si="3"/>
        <v>-1</v>
      </c>
      <c r="AE4" s="235">
        <f t="shared" si="3"/>
        <v>-2</v>
      </c>
      <c r="AF4" s="222" t="s">
        <v>604</v>
      </c>
      <c r="AG4" s="235">
        <f>IF(VLOOKUP(K$2,Database!$B$22:$N$301,3)="","",VLOOKUP(K$2,Database!$B$22:$N$301,3))</f>
        <v>-3</v>
      </c>
      <c r="AH4" s="235">
        <f>IF(VLOOKUP(L$2,Database!$B$22:$N$301,3)="","",VLOOKUP(L$2,Database!$B$22:$N$301,3))</f>
        <v>-1</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-2</v>
      </c>
      <c r="AM4" s="242">
        <f>IF(VLOOKUP(Q$2,Database!$B$22:$N$301,3)="","",VLOOKUP(Q$2,Database!$B$22:$N$301,3))</f>
        <v>-1</v>
      </c>
      <c r="AN4" s="26"/>
      <c r="AO4" s="26"/>
      <c r="AP4" s="1107" t="s">
        <v>1057</v>
      </c>
      <c r="AQ4" s="1108"/>
      <c r="AR4" s="1108"/>
      <c r="AS4" s="1108"/>
      <c r="AT4" s="1108"/>
      <c r="AU4" s="1108"/>
      <c r="AV4" s="1108"/>
      <c r="AW4" s="1108"/>
      <c r="AX4" s="1108"/>
      <c r="AY4" s="1108"/>
    </row>
    <row r="5" spans="1:51" ht="15" customHeight="1">
      <c r="A5" s="869" t="s">
        <v>333</v>
      </c>
      <c r="B5" s="808">
        <f>IF(K5="",0,(B$11*(V$5*$AU41^(-2*V$4))*$D41)/M$41)</f>
        <v>2.0778132559435929E-4</v>
      </c>
      <c r="C5" s="808">
        <f t="shared" ref="C5:H5" si="4">IF(L5="",0,(C$11*(W$5*$AU41^(-2*W$4))*$D41)/N$41)</f>
        <v>2.7137463866597454E-2</v>
      </c>
      <c r="D5" s="808">
        <f t="shared" si="4"/>
        <v>0</v>
      </c>
      <c r="E5" s="808">
        <f t="shared" si="4"/>
        <v>0</v>
      </c>
      <c r="F5" s="808">
        <f t="shared" si="4"/>
        <v>0</v>
      </c>
      <c r="G5" s="808">
        <f t="shared" si="4"/>
        <v>0</v>
      </c>
      <c r="H5" s="808">
        <f t="shared" si="4"/>
        <v>0</v>
      </c>
      <c r="I5" s="564"/>
      <c r="J5" s="190" t="s">
        <v>635</v>
      </c>
      <c r="K5" s="258">
        <v>3.1280000000000001</v>
      </c>
      <c r="L5" s="258">
        <v>2.35</v>
      </c>
      <c r="M5" s="258">
        <v>4.0999999999999996</v>
      </c>
      <c r="N5" s="258">
        <v>4.7569999999999997</v>
      </c>
      <c r="O5" s="258">
        <v>9.2439999999999998</v>
      </c>
      <c r="P5" s="258">
        <v>6.3520000000000003</v>
      </c>
      <c r="Q5" s="258">
        <v>-7</v>
      </c>
      <c r="R5" s="267">
        <v>-7</v>
      </c>
      <c r="S5" s="268">
        <v>15.744999999999999</v>
      </c>
      <c r="T5" s="309">
        <v>6.3520000000000003</v>
      </c>
      <c r="U5" s="311" t="s">
        <v>487</v>
      </c>
      <c r="V5" s="102">
        <f t="shared" ref="V5:AB5" si="5">IF(K5="","1E-10",IF(K6="",10^K5,(IF(K7="",10^K6,(IF(K8="",10^K7,(IF(K9="",10^K8,(IF(K10="",10^K9,10^K10))))))))))</f>
        <v>2488857.3182823951</v>
      </c>
      <c r="W5" s="102">
        <f t="shared" si="5"/>
        <v>5997910762.5551224</v>
      </c>
      <c r="X5" s="102">
        <f t="shared" si="5"/>
        <v>616595001861.48279</v>
      </c>
      <c r="Y5" s="102">
        <f t="shared" si="5"/>
        <v>57147.863667186728</v>
      </c>
      <c r="Z5" s="102">
        <f t="shared" si="5"/>
        <v>1753880501.8417609</v>
      </c>
      <c r="AA5" s="102">
        <f t="shared" si="5"/>
        <v>21330449131.465843</v>
      </c>
      <c r="AB5" s="102">
        <f t="shared" si="5"/>
        <v>9.9999999999999995E-8</v>
      </c>
      <c r="AC5" s="1186">
        <f>IF(R5="","1E-10",IF(R6="",10^R5,(IF(R7="",10^R6))))</f>
        <v>9.9999999999999995E-8</v>
      </c>
      <c r="AD5" s="203">
        <f>IF(S5="","1E-10",IF(S6="",10^S5,(IF(S7="",10^S6))))</f>
        <v>5559042572704029</v>
      </c>
      <c r="AE5" s="109">
        <f>IF(T5="","1E-10",IF(T6="",10^T5,(IF(T7="",10^T6))))</f>
        <v>21330449131.465843</v>
      </c>
      <c r="AF5" s="190" t="s">
        <v>581</v>
      </c>
      <c r="AG5" s="243">
        <f>IF(VLOOKUP(K$2,Database!$B$22:$N$301,4)="","",VLOOKUP(K$2,Database!$B$22:$N$301,4))</f>
        <v>3.1280000000000001</v>
      </c>
      <c r="AH5" s="366">
        <f>IF(VLOOKUP(L$2,Database!$B$22:$N$301,4)="","",VLOOKUP(L$2,Database!$B$22:$N$301,4))</f>
        <v>2.35</v>
      </c>
      <c r="AI5" s="366">
        <f>IF(VLOOKUP(M$2,Database!$B$22:$N$301,4)="","",VLOOKUP(M$2,Database!$B$22:$N$301,4))</f>
        <v>4.0999999999999996</v>
      </c>
      <c r="AJ5" s="366">
        <f>IF(VLOOKUP(N$2,Database!$B$22:$N$301,4)="","",VLOOKUP(N$2,Database!$B$22:$N$301,4))</f>
        <v>4.7569999999999997</v>
      </c>
      <c r="AK5" s="366">
        <f>IF(VLOOKUP(O$2,Database!$B$22:$N$301,4)="","",VLOOKUP(O$2,Database!$B$22:$N$301,4))</f>
        <v>9.2439999999999998</v>
      </c>
      <c r="AL5" s="366">
        <f>IF(VLOOKUP(P$2,Database!$B$22:$N$301,4)="","",VLOOKUP(P$2,Database!$B$22:$N$301,4))</f>
        <v>6.3520000000000003</v>
      </c>
      <c r="AM5" s="367">
        <f>IF(VLOOKUP(Q$2,Database!$B$22:$N$301,4)="","",VLOOKUP(Q$2,Database!$B$22:$N$301,4))</f>
        <v>-7</v>
      </c>
      <c r="AN5" s="26"/>
      <c r="AO5" s="26"/>
      <c r="AP5" s="1107"/>
      <c r="AQ5" s="1108"/>
      <c r="AR5" s="1108"/>
      <c r="AS5" s="1108"/>
      <c r="AT5" s="1108"/>
      <c r="AU5" s="1108"/>
      <c r="AV5" s="1108"/>
      <c r="AW5" s="1108"/>
      <c r="AX5" s="1108"/>
      <c r="AY5" s="1108"/>
    </row>
    <row r="6" spans="1:51" ht="15" customHeight="1">
      <c r="A6" s="869" t="s">
        <v>896</v>
      </c>
      <c r="B6" s="808">
        <f>IF(K6="",0,(B$11*(V$6*$AU41^(-4*V$4-2))*$D41^2)/M$41)</f>
        <v>1.0238058360396924E-2</v>
      </c>
      <c r="C6" s="808">
        <f t="shared" ref="C6:H6" si="6">IF(L6="",0,(C$11*(W$6*$AU41^(-4*W$4-2))*$D41^2)/N$41)</f>
        <v>7.95633178569774E-3</v>
      </c>
      <c r="D6" s="808">
        <f t="shared" si="6"/>
        <v>0</v>
      </c>
      <c r="E6" s="808">
        <f t="shared" si="6"/>
        <v>0</v>
      </c>
      <c r="F6" s="808">
        <f t="shared" si="6"/>
        <v>0</v>
      </c>
      <c r="G6" s="808">
        <f t="shared" si="6"/>
        <v>0</v>
      </c>
      <c r="H6" s="808">
        <f t="shared" si="6"/>
        <v>0</v>
      </c>
      <c r="I6" s="564"/>
      <c r="J6" s="191" t="s">
        <v>636</v>
      </c>
      <c r="K6" s="258">
        <v>4.7610000000000001</v>
      </c>
      <c r="L6" s="258">
        <v>9.7780000000000005</v>
      </c>
      <c r="M6" s="258">
        <v>11.79</v>
      </c>
      <c r="N6" s="258" t="s">
        <v>588</v>
      </c>
      <c r="O6" s="258" t="s">
        <v>588</v>
      </c>
      <c r="P6" s="258">
        <v>10.329000000000001</v>
      </c>
      <c r="Q6" s="258" t="s">
        <v>588</v>
      </c>
      <c r="R6" s="1129"/>
      <c r="S6" s="1130"/>
      <c r="T6" s="1131">
        <v>10.329000000000001</v>
      </c>
      <c r="U6" s="312" t="s">
        <v>489</v>
      </c>
      <c r="V6" s="105">
        <f>IF(K6="","10E-10",IF(K7="",V5*10^K5,(IF(K8="",V5*10^K6,(IF(K9="",V5*10^K7,(IF(K10="",V5*10^K8,V5*10^K9))))))))</f>
        <v>143548943335.36603</v>
      </c>
      <c r="W6" s="105">
        <f t="shared" ref="W6:AB6" si="7">IF(L6="","1E-10",IF(L7="",W5*10^L5,(IF(L8="",W5*10^L6,(IF(L9="",W5*10^L7,(IF(L10="",W5*10^L8,W5*10^L9))))))))</f>
        <v>1342764961137.8711</v>
      </c>
      <c r="X6" s="105">
        <f t="shared" si="7"/>
        <v>7762471166286925</v>
      </c>
      <c r="Y6" s="105" t="str">
        <f t="shared" si="7"/>
        <v>1E-10</v>
      </c>
      <c r="Z6" s="105" t="str">
        <f t="shared" si="7"/>
        <v>1E-10</v>
      </c>
      <c r="AA6" s="105">
        <f t="shared" si="7"/>
        <v>4.7973344863669224E+16</v>
      </c>
      <c r="AB6" s="105" t="str">
        <f t="shared" si="7"/>
        <v>1E-10</v>
      </c>
      <c r="AC6" s="1186" t="str">
        <f>IF(R6="","1E-10",IF(R7="",AC5*10^R5))</f>
        <v>1E-10</v>
      </c>
      <c r="AD6" s="70" t="str">
        <f>IF(S6="","1E-10",IF(S7="",AD5*10^S5))</f>
        <v>1E-10</v>
      </c>
      <c r="AE6" s="109">
        <f>IF(T6="","1E-10",IF(T7="",AE5*10^T5))</f>
        <v>4.7973344863669224E+16</v>
      </c>
      <c r="AF6" s="191" t="s">
        <v>582</v>
      </c>
      <c r="AG6" s="236">
        <f>IF(VLOOKUP(K$2,Database!$B$22:$N$301,5)="","",VLOOKUP(K$2,Database!$B$22:$N$301,5))</f>
        <v>4.7610000000000001</v>
      </c>
      <c r="AH6" s="237">
        <f>IF(VLOOKUP(L$2,Database!$B$22:$N$301,5)="","",VLOOKUP(L$2,Database!$B$22:$N$301,5))</f>
        <v>9.7780000000000005</v>
      </c>
      <c r="AI6" s="237">
        <f>IF(VLOOKUP(M$2,Database!$B$22:$N$301,5)="","",VLOOKUP(M$2,Database!$B$22:$N$301,5))</f>
        <v>11.79</v>
      </c>
      <c r="AJ6" s="237" t="str">
        <f>IF(VLOOKUP(N$2,Database!$B$22:$N$301,5)="","",VLOOKUP(N$2,Database!$B$22:$N$301,5))</f>
        <v/>
      </c>
      <c r="AK6" s="237" t="str">
        <f>IF(VLOOKUP(O$2,Database!$B$22:$N$301,5)="","",VLOOKUP(O$2,Database!$B$22:$N$301,5))</f>
        <v/>
      </c>
      <c r="AL6" s="237">
        <f>IF(VLOOKUP(P$2,Database!$B$22:$N$301,5)="","",VLOOKUP(P$2,Database!$B$22:$N$301,5))</f>
        <v>10.329000000000001</v>
      </c>
      <c r="AM6" s="238" t="str">
        <f>IF(VLOOKUP(Q$2,Database!$B$22:$N$301,5)="","",VLOOKUP(Q$2,Database!$B$22:$N$301,5))</f>
        <v/>
      </c>
      <c r="AN6" s="26"/>
      <c r="AO6" s="26"/>
      <c r="AP6" s="1107" t="s">
        <v>1077</v>
      </c>
      <c r="AQ6" s="1108"/>
      <c r="AR6" s="1108"/>
      <c r="AS6" s="1108"/>
      <c r="AT6" s="1108"/>
      <c r="AU6" s="1108"/>
      <c r="AV6" s="1108"/>
      <c r="AW6" s="1108"/>
      <c r="AX6" s="1108"/>
      <c r="AY6" s="1108"/>
    </row>
    <row r="7" spans="1:51" ht="15" customHeight="1">
      <c r="A7" s="869" t="s">
        <v>897</v>
      </c>
      <c r="B7" s="808">
        <f>IF(K7="",0,(B$11*(V$7*$AU41^(-6*V$4-6))*$D41^3)/M$41)</f>
        <v>1.4541022903171512E-2</v>
      </c>
      <c r="C7" s="808">
        <f t="shared" ref="C7:H7" si="8">IF(L7="",0,(C$11*(W$7*$AU41^(-6*W$4-6))*$D41^3)/N$41)</f>
        <v>0</v>
      </c>
      <c r="D7" s="808">
        <f t="shared" si="8"/>
        <v>0</v>
      </c>
      <c r="E7" s="808">
        <f t="shared" si="8"/>
        <v>0</v>
      </c>
      <c r="F7" s="808">
        <f t="shared" si="8"/>
        <v>0</v>
      </c>
      <c r="G7" s="808">
        <f t="shared" si="8"/>
        <v>0</v>
      </c>
      <c r="H7" s="808">
        <f t="shared" si="8"/>
        <v>0</v>
      </c>
      <c r="I7" s="564"/>
      <c r="J7" s="191" t="s">
        <v>637</v>
      </c>
      <c r="K7" s="258">
        <v>6.3959999999999999</v>
      </c>
      <c r="L7" s="258" t="s">
        <v>588</v>
      </c>
      <c r="M7" s="258" t="s">
        <v>588</v>
      </c>
      <c r="N7" s="258" t="s">
        <v>588</v>
      </c>
      <c r="O7" s="258" t="s">
        <v>588</v>
      </c>
      <c r="P7" s="487" t="s">
        <v>588</v>
      </c>
      <c r="Q7" s="260" t="s">
        <v>588</v>
      </c>
      <c r="R7" s="750"/>
      <c r="S7" s="750"/>
      <c r="T7" s="1182"/>
      <c r="U7" s="311" t="s">
        <v>491</v>
      </c>
      <c r="V7" s="105">
        <f t="shared" ref="V7:AB7" si="9">IF(K7="","1E-10",IF(K8="",V6*10^K5,(IF(K9="",V6*10^K6,(IF(K10="",V6*10^K7,V6*10^K8))))))</f>
        <v>192752491319094.31</v>
      </c>
      <c r="W7" s="105" t="str">
        <f t="shared" si="9"/>
        <v>1E-10</v>
      </c>
      <c r="X7" s="105" t="str">
        <f t="shared" si="9"/>
        <v>1E-10</v>
      </c>
      <c r="Y7" s="105" t="str">
        <f t="shared" si="9"/>
        <v>1E-10</v>
      </c>
      <c r="Z7" s="105" t="str">
        <f t="shared" si="9"/>
        <v>1E-10</v>
      </c>
      <c r="AA7" s="105" t="str">
        <f t="shared" si="9"/>
        <v>1E-10</v>
      </c>
      <c r="AB7" s="105" t="str">
        <f t="shared" si="9"/>
        <v>1E-10</v>
      </c>
      <c r="AC7" s="1187"/>
      <c r="AD7" s="1188"/>
      <c r="AE7" s="1189"/>
      <c r="AF7" s="191" t="s">
        <v>583</v>
      </c>
      <c r="AG7" s="236">
        <f>IF(VLOOKUP(K$2,Database!$B$22:$N$301,6)="","",VLOOKUP(K$2,Database!$B$22:$N$301,6))</f>
        <v>6.3959999999999999</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6"/>
      <c r="AO7" s="26"/>
      <c r="AP7" s="1107"/>
      <c r="AQ7" s="1108"/>
      <c r="AR7" s="1108"/>
      <c r="AS7" s="1108"/>
      <c r="AT7" s="1108"/>
      <c r="AU7" s="1108"/>
      <c r="AV7" s="1108"/>
      <c r="AW7" s="1108"/>
      <c r="AX7" s="1108"/>
      <c r="AY7" s="1108"/>
    </row>
    <row r="8" spans="1:51" ht="15" customHeight="1">
      <c r="A8" s="869" t="s">
        <v>906</v>
      </c>
      <c r="B8" s="808">
        <f>IF(K8="",0,(B$11*(V$8*$AU41^(-8*V$4-12))*$D41^4)/M$41)</f>
        <v>0</v>
      </c>
      <c r="C8" s="808">
        <f t="shared" ref="C8:H8" si="10">IF(L8="",0,(C$11*(W$8*$AU41^(-8*W$4-12))*$D41^4)/N$41)</f>
        <v>0</v>
      </c>
      <c r="D8" s="808">
        <f t="shared" si="10"/>
        <v>0</v>
      </c>
      <c r="E8" s="808">
        <f t="shared" si="10"/>
        <v>0</v>
      </c>
      <c r="F8" s="808">
        <f t="shared" si="10"/>
        <v>0</v>
      </c>
      <c r="G8" s="808">
        <f t="shared" si="10"/>
        <v>0</v>
      </c>
      <c r="H8" s="808">
        <f t="shared" si="10"/>
        <v>0</v>
      </c>
      <c r="I8" s="564"/>
      <c r="J8" s="191" t="s">
        <v>638</v>
      </c>
      <c r="K8" s="258" t="s">
        <v>588</v>
      </c>
      <c r="L8" s="258" t="s">
        <v>588</v>
      </c>
      <c r="M8" s="258" t="s">
        <v>588</v>
      </c>
      <c r="N8" s="258" t="s">
        <v>588</v>
      </c>
      <c r="O8" s="258" t="s">
        <v>588</v>
      </c>
      <c r="P8" s="488" t="s">
        <v>588</v>
      </c>
      <c r="Q8" s="260" t="s">
        <v>588</v>
      </c>
      <c r="R8" s="1183" t="s">
        <v>335</v>
      </c>
      <c r="S8" s="750"/>
      <c r="T8" s="1182"/>
      <c r="U8" s="311" t="s">
        <v>493</v>
      </c>
      <c r="V8" s="105" t="str">
        <f t="shared" ref="V8:AB8" si="11">IF(K8="","1E-10",IF(K9="",V7*10^K5,(IF(K10="",V7*10^K6,V7*10^K7))))</f>
        <v>1E-10</v>
      </c>
      <c r="W8" s="105" t="str">
        <f t="shared" si="11"/>
        <v>1E-10</v>
      </c>
      <c r="X8" s="105" t="str">
        <f t="shared" si="11"/>
        <v>1E-10</v>
      </c>
      <c r="Y8" s="105" t="str">
        <f t="shared" si="11"/>
        <v>1E-10</v>
      </c>
      <c r="Z8" s="105" t="str">
        <f t="shared" si="11"/>
        <v>1E-10</v>
      </c>
      <c r="AA8" s="105" t="str">
        <f t="shared" si="11"/>
        <v>1E-10</v>
      </c>
      <c r="AB8" s="105" t="str">
        <f t="shared" si="11"/>
        <v>1E-10</v>
      </c>
      <c r="AC8" s="1190" t="s">
        <v>336</v>
      </c>
      <c r="AD8" s="1191"/>
      <c r="AE8" s="1192"/>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6"/>
      <c r="AO8" s="26"/>
      <c r="AP8" s="1107" t="s">
        <v>1078</v>
      </c>
      <c r="AQ8" s="1108"/>
      <c r="AR8" s="1108"/>
      <c r="AS8" s="1108"/>
      <c r="AT8" s="1107" t="s">
        <v>1117</v>
      </c>
      <c r="AU8" s="1108"/>
      <c r="AV8" s="1108"/>
      <c r="AW8" s="1108"/>
      <c r="AX8" s="1108"/>
      <c r="AY8" s="1108"/>
    </row>
    <row r="9" spans="1:51" ht="15" customHeight="1">
      <c r="A9" s="869" t="s">
        <v>907</v>
      </c>
      <c r="B9" s="808">
        <f>IF(K9="",0,(B$11*(V$9*$AU41^(-10*V$4-20))*$D41^5)/M$41)</f>
        <v>0</v>
      </c>
      <c r="C9" s="808">
        <f t="shared" ref="C9:H9" si="12">IF(L9="",0,(C$11*(W$9*$AU41^(-10*W$4-20))*$D41^5)/N$41)</f>
        <v>0</v>
      </c>
      <c r="D9" s="808">
        <f t="shared" si="12"/>
        <v>0</v>
      </c>
      <c r="E9" s="808">
        <f t="shared" si="12"/>
        <v>0</v>
      </c>
      <c r="F9" s="808">
        <f t="shared" si="12"/>
        <v>0</v>
      </c>
      <c r="G9" s="808">
        <f t="shared" si="12"/>
        <v>0</v>
      </c>
      <c r="H9" s="808">
        <f t="shared" si="12"/>
        <v>0</v>
      </c>
      <c r="I9" s="1151" t="s">
        <v>348</v>
      </c>
      <c r="J9" s="191" t="s">
        <v>639</v>
      </c>
      <c r="K9" s="258" t="s">
        <v>588</v>
      </c>
      <c r="L9" s="258" t="s">
        <v>588</v>
      </c>
      <c r="M9" s="258" t="s">
        <v>588</v>
      </c>
      <c r="N9" s="258" t="s">
        <v>588</v>
      </c>
      <c r="O9" s="258" t="s">
        <v>588</v>
      </c>
      <c r="P9" s="258" t="s">
        <v>588</v>
      </c>
      <c r="Q9" s="260" t="s">
        <v>588</v>
      </c>
      <c r="R9" s="1206">
        <v>13.997</v>
      </c>
      <c r="S9" s="750"/>
      <c r="T9" s="1182"/>
      <c r="U9" s="311" t="s">
        <v>495</v>
      </c>
      <c r="V9" s="105" t="str">
        <f t="shared" ref="V9:AB9" si="13">IF(K9="","1E-10",IF(K10="",V8*10^K5,V8*10^K6))</f>
        <v>1E-10</v>
      </c>
      <c r="W9" s="105" t="str">
        <f t="shared" si="13"/>
        <v>1E-10</v>
      </c>
      <c r="X9" s="105" t="str">
        <f t="shared" si="13"/>
        <v>1E-10</v>
      </c>
      <c r="Y9" s="105" t="str">
        <f t="shared" si="13"/>
        <v>1E-10</v>
      </c>
      <c r="Z9" s="105" t="str">
        <f t="shared" si="13"/>
        <v>1E-10</v>
      </c>
      <c r="AA9" s="105" t="str">
        <f t="shared" si="13"/>
        <v>1E-10</v>
      </c>
      <c r="AB9" s="105" t="str">
        <f t="shared" si="13"/>
        <v>1E-10</v>
      </c>
      <c r="AC9" s="1193">
        <f>10^-R9</f>
        <v>1.0069316688518014E-14</v>
      </c>
      <c r="AD9" s="1191"/>
      <c r="AE9" s="1192"/>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6"/>
      <c r="AO9" s="26"/>
      <c r="AP9" s="1107"/>
      <c r="AQ9" s="1108"/>
      <c r="AR9" s="1108"/>
      <c r="AS9" s="1108"/>
      <c r="AT9" s="1108"/>
      <c r="AU9" s="1108"/>
      <c r="AV9" s="1108"/>
      <c r="AW9" s="1108"/>
      <c r="AX9" s="1108"/>
      <c r="AY9" s="1108"/>
    </row>
    <row r="10" spans="1:51" ht="15" customHeight="1" thickBot="1">
      <c r="A10" s="869" t="s">
        <v>908</v>
      </c>
      <c r="B10" s="870">
        <f>IF(K10="",0,(B$11*(V$10*$AU41^(-12*V$4-30))*$D41^6)/M$41)</f>
        <v>0</v>
      </c>
      <c r="C10" s="870">
        <f t="shared" ref="C10:H10" si="14">IF(L10="",0,(C$11*(W$10*$AU41^(-12*W$4-30))*$D41^6)/N$41)</f>
        <v>0</v>
      </c>
      <c r="D10" s="870">
        <f t="shared" si="14"/>
        <v>0</v>
      </c>
      <c r="E10" s="870">
        <f t="shared" si="14"/>
        <v>0</v>
      </c>
      <c r="F10" s="870">
        <f t="shared" si="14"/>
        <v>0</v>
      </c>
      <c r="G10" s="870">
        <f t="shared" si="14"/>
        <v>0</v>
      </c>
      <c r="H10" s="870">
        <f t="shared" si="14"/>
        <v>0</v>
      </c>
      <c r="I10" s="1139" t="s">
        <v>345</v>
      </c>
      <c r="J10" s="213" t="s">
        <v>640</v>
      </c>
      <c r="K10" s="264" t="s">
        <v>588</v>
      </c>
      <c r="L10" s="265" t="s">
        <v>588</v>
      </c>
      <c r="M10" s="265" t="s">
        <v>588</v>
      </c>
      <c r="N10" s="265" t="s">
        <v>588</v>
      </c>
      <c r="O10" s="265" t="s">
        <v>588</v>
      </c>
      <c r="P10" s="265" t="s">
        <v>588</v>
      </c>
      <c r="Q10" s="266" t="s">
        <v>588</v>
      </c>
      <c r="R10" s="1184"/>
      <c r="S10" s="751"/>
      <c r="T10" s="1185"/>
      <c r="U10" s="313" t="s">
        <v>497</v>
      </c>
      <c r="V10" s="245" t="str">
        <f t="shared" ref="V10:AB10" si="15">IF(K10="","1E-10",V9*10^K5)</f>
        <v>1E-10</v>
      </c>
      <c r="W10" s="245" t="str">
        <f t="shared" si="15"/>
        <v>1E-10</v>
      </c>
      <c r="X10" s="245" t="str">
        <f t="shared" si="15"/>
        <v>1E-10</v>
      </c>
      <c r="Y10" s="245" t="str">
        <f t="shared" si="15"/>
        <v>1E-10</v>
      </c>
      <c r="Z10" s="245" t="str">
        <f t="shared" si="15"/>
        <v>1E-10</v>
      </c>
      <c r="AA10" s="245" t="str">
        <f t="shared" si="15"/>
        <v>1E-10</v>
      </c>
      <c r="AB10" s="245" t="str">
        <f t="shared" si="15"/>
        <v>1E-10</v>
      </c>
      <c r="AC10" s="1194"/>
      <c r="AD10" s="1195"/>
      <c r="AE10" s="1196"/>
      <c r="AF10" s="213" t="s">
        <v>586</v>
      </c>
      <c r="AG10" s="246" t="str">
        <f>IF(VLOOKUP(K$2,Database!$B$22:$N$301,9)="","",VLOOKUP(K$2,Database!$B$22:$N$301,9))</f>
        <v/>
      </c>
      <c r="AH10" s="239" t="str">
        <f>IF(VLOOKUP(L$2,Database!$B$22:$N$301,9)="","",VLOOKUP(L$2,Database!$B$22:$N$301,9))</f>
        <v/>
      </c>
      <c r="AI10" s="239" t="str">
        <f>IF(VLOOKUP(M$2,Database!$B$22:$N$301,9)="","",VLOOKUP(M$2,Database!$B$22:$N$301,9))</f>
        <v/>
      </c>
      <c r="AJ10" s="239" t="str">
        <f>IF(VLOOKUP(N$2,Database!$B$22:$N$301,9)="","",VLOOKUP(N$2,Database!$B$22:$N$301,9))</f>
        <v/>
      </c>
      <c r="AK10" s="239" t="str">
        <f>IF(VLOOKUP(O$2,Database!$B$22:$N$301,9)="","",VLOOKUP(O$2,Database!$B$22:$N$301,9))</f>
        <v/>
      </c>
      <c r="AL10" s="239" t="str">
        <f>IF(VLOOKUP(P$2,Database!$B$22:$N$301,9)="","",VLOOKUP(P$2,Database!$B$22:$N$301,9))</f>
        <v/>
      </c>
      <c r="AM10" s="240" t="str">
        <f>IF(VLOOKUP(Q$2,Database!$B$22:$N$301,9)="","",VLOOKUP(Q$2,Database!$B$22:$N$301,9))</f>
        <v/>
      </c>
      <c r="AN10" s="26"/>
      <c r="AO10" s="26"/>
      <c r="AP10" s="1107" t="s">
        <v>1079</v>
      </c>
      <c r="AQ10" s="1108"/>
      <c r="AR10" s="1108"/>
      <c r="AS10" s="1108"/>
      <c r="AT10" s="1108"/>
      <c r="AU10" s="1108"/>
      <c r="AV10" s="1108"/>
      <c r="AW10" s="1108"/>
      <c r="AX10" s="1108"/>
      <c r="AY10" s="1108"/>
    </row>
    <row r="11" spans="1:51" ht="16.5" customHeight="1" thickTop="1">
      <c r="A11" s="871" t="s">
        <v>909</v>
      </c>
      <c r="B11" s="890">
        <v>2.4986983582566409E-2</v>
      </c>
      <c r="C11" s="891">
        <v>3.5093799929813735E-2</v>
      </c>
      <c r="D11" s="892">
        <v>0</v>
      </c>
      <c r="E11" s="891">
        <v>0</v>
      </c>
      <c r="F11" s="891">
        <v>0</v>
      </c>
      <c r="G11" s="891">
        <v>0</v>
      </c>
      <c r="H11" s="1023">
        <v>0</v>
      </c>
      <c r="I11" s="221">
        <f>SUM(B11:H11)</f>
        <v>6.0080783512380144E-2</v>
      </c>
      <c r="J11" s="399" t="s">
        <v>347</v>
      </c>
      <c r="K11" s="397" t="s">
        <v>588</v>
      </c>
      <c r="L11" s="397" t="s">
        <v>588</v>
      </c>
      <c r="M11" s="429" t="s">
        <v>588</v>
      </c>
      <c r="N11" s="430" t="s">
        <v>696</v>
      </c>
      <c r="O11" s="431"/>
      <c r="P11" s="432"/>
      <c r="Q11" s="470" t="s">
        <v>738</v>
      </c>
      <c r="R11" s="471"/>
      <c r="S11" s="472" t="s">
        <v>996</v>
      </c>
      <c r="T11" s="473" t="s">
        <v>721</v>
      </c>
      <c r="U11" s="450"/>
      <c r="V11" s="356"/>
      <c r="W11" s="356"/>
      <c r="X11" s="356"/>
      <c r="Y11" s="425" t="s">
        <v>1107</v>
      </c>
      <c r="Z11" s="516">
        <f>AT41</f>
        <v>1.0862132584639951E-2</v>
      </c>
      <c r="AA11" s="445" t="s">
        <v>719</v>
      </c>
      <c r="AB11" s="444">
        <f>S23</f>
        <v>0.89870439443503658</v>
      </c>
      <c r="AC11" s="1197" t="s">
        <v>1123</v>
      </c>
      <c r="AD11" s="445" t="s">
        <v>1124</v>
      </c>
      <c r="AE11" s="1198">
        <v>0.78159394392651715</v>
      </c>
      <c r="AF11" s="26"/>
      <c r="AG11" s="26"/>
      <c r="AH11" s="26"/>
      <c r="AI11" s="26"/>
      <c r="AJ11" s="26"/>
      <c r="AK11" s="26"/>
      <c r="AL11" s="26"/>
      <c r="AM11" s="26"/>
      <c r="AN11" s="26"/>
      <c r="AO11" s="26"/>
      <c r="AP11" s="1107"/>
      <c r="AQ11" s="1108"/>
      <c r="AR11" s="1108"/>
      <c r="AS11" s="1108"/>
      <c r="AT11" s="1108"/>
      <c r="AU11" s="1108"/>
      <c r="AV11" s="1108"/>
      <c r="AW11" s="1108"/>
      <c r="AX11" s="1108"/>
      <c r="AY11" s="1108"/>
    </row>
    <row r="12" spans="1:51" ht="15" customHeight="1">
      <c r="A12" s="872" t="s">
        <v>910</v>
      </c>
      <c r="B12" s="804">
        <f t="shared" ref="B12:H12" si="16">B5+2*B6+3*B7+4*B8+5*B9+6*B10</f>
        <v>6.430696675590275E-2</v>
      </c>
      <c r="C12" s="805">
        <f t="shared" si="16"/>
        <v>4.3050127437992934E-2</v>
      </c>
      <c r="D12" s="805">
        <f t="shared" si="16"/>
        <v>0</v>
      </c>
      <c r="E12" s="805">
        <f t="shared" si="16"/>
        <v>0</v>
      </c>
      <c r="F12" s="805">
        <f t="shared" si="16"/>
        <v>0</v>
      </c>
      <c r="G12" s="805">
        <f t="shared" si="16"/>
        <v>0</v>
      </c>
      <c r="H12" s="805">
        <f t="shared" si="16"/>
        <v>0</v>
      </c>
      <c r="I12" s="226">
        <f>SUM(B12:H12)</f>
        <v>0.10735709419389569</v>
      </c>
      <c r="J12" s="400" t="s">
        <v>1021</v>
      </c>
      <c r="K12" s="127"/>
      <c r="L12" s="127"/>
      <c r="M12" s="396"/>
      <c r="N12" s="519" t="s">
        <v>740</v>
      </c>
      <c r="O12" s="225"/>
      <c r="P12" s="424">
        <v>7</v>
      </c>
      <c r="Q12" s="456" t="s">
        <v>732</v>
      </c>
      <c r="R12" s="454" t="s">
        <v>725</v>
      </c>
      <c r="S12" s="483">
        <v>0</v>
      </c>
      <c r="T12" s="484">
        <v>0</v>
      </c>
      <c r="U12" s="449" t="s">
        <v>487</v>
      </c>
      <c r="V12" s="427">
        <f t="shared" ref="V12:AB12" si="17">IF(K5="","",(V5*$AB$11^(-2*V$4)))</f>
        <v>1311297.3746533419</v>
      </c>
      <c r="W12" s="427">
        <f t="shared" si="17"/>
        <v>4844330117.9135313</v>
      </c>
      <c r="X12" s="427">
        <f t="shared" si="17"/>
        <v>402223518878.19202</v>
      </c>
      <c r="Y12" s="427">
        <f t="shared" si="17"/>
        <v>46156.591536122382</v>
      </c>
      <c r="Z12" s="427">
        <f t="shared" si="17"/>
        <v>1753880501.8417609</v>
      </c>
      <c r="AA12" s="427">
        <f t="shared" si="17"/>
        <v>13914495386.775555</v>
      </c>
      <c r="AB12" s="427">
        <f t="shared" si="17"/>
        <v>8.0766958857684576E-8</v>
      </c>
      <c r="AC12" s="1199">
        <v>6.1088909318260758E-8</v>
      </c>
      <c r="AD12" s="427">
        <v>3395958476202674.5</v>
      </c>
      <c r="AE12" s="1200">
        <v>7960213986.6783028</v>
      </c>
      <c r="AF12" s="26"/>
      <c r="AG12" s="26"/>
      <c r="AH12" s="26"/>
      <c r="AI12" s="26"/>
      <c r="AJ12" s="26"/>
      <c r="AK12" s="26"/>
      <c r="AL12" s="26"/>
      <c r="AM12" s="26"/>
      <c r="AN12" s="26"/>
      <c r="AO12" s="26"/>
      <c r="AP12" s="1107" t="s">
        <v>1080</v>
      </c>
      <c r="AQ12" s="1108"/>
      <c r="AR12" s="1108"/>
      <c r="AS12" s="1108"/>
      <c r="AT12" s="1107" t="s">
        <v>1118</v>
      </c>
      <c r="AU12" s="1108"/>
      <c r="AV12" s="1108"/>
      <c r="AW12" s="1108"/>
      <c r="AX12" s="1108"/>
      <c r="AY12" s="1108"/>
    </row>
    <row r="13" spans="1:51" ht="15" customHeight="1" thickBot="1">
      <c r="A13" s="873" t="s">
        <v>691</v>
      </c>
      <c r="B13" s="808">
        <f>IF(K4="","0",(-K4*B11)-B12)</f>
        <v>1.0653983991796484E-2</v>
      </c>
      <c r="C13" s="809">
        <f t="shared" ref="C13:H13" si="18">IF(L4="","0",(-L4*C11)-C12)</f>
        <v>-7.9563275081791993E-3</v>
      </c>
      <c r="D13" s="809">
        <f t="shared" si="18"/>
        <v>0</v>
      </c>
      <c r="E13" s="809">
        <f t="shared" si="18"/>
        <v>0</v>
      </c>
      <c r="F13" s="809">
        <f t="shared" si="18"/>
        <v>0</v>
      </c>
      <c r="G13" s="809">
        <f t="shared" si="18"/>
        <v>0</v>
      </c>
      <c r="H13" s="874">
        <f t="shared" si="18"/>
        <v>0</v>
      </c>
      <c r="I13" s="1181">
        <f>SUM(B13:H13)</f>
        <v>2.6976564836172848E-3</v>
      </c>
      <c r="J13" s="401" t="s">
        <v>1108</v>
      </c>
      <c r="K13" s="936" t="s">
        <v>948</v>
      </c>
      <c r="L13" s="127"/>
      <c r="M13" s="396"/>
      <c r="N13" s="520" t="s">
        <v>737</v>
      </c>
      <c r="O13" s="225"/>
      <c r="P13" s="524">
        <v>1</v>
      </c>
      <c r="Q13" s="456" t="s">
        <v>580</v>
      </c>
      <c r="R13" s="454" t="s">
        <v>726</v>
      </c>
      <c r="S13" s="485">
        <v>0</v>
      </c>
      <c r="T13" s="484">
        <v>0</v>
      </c>
      <c r="U13" s="312" t="s">
        <v>489</v>
      </c>
      <c r="V13" s="426">
        <f>IF(K6="","",(V6*$AB$11^(-4*V$4-2)))</f>
        <v>49336535904.715759</v>
      </c>
      <c r="W13" s="426">
        <f t="shared" ref="W13:AB13" si="19">IF(L6="","",(W6*$AB$11^(-4*W$4-2)))</f>
        <v>1084510423717.6287</v>
      </c>
      <c r="X13" s="426">
        <f t="shared" si="19"/>
        <v>4089791723456030</v>
      </c>
      <c r="Y13" s="426" t="str">
        <f t="shared" si="19"/>
        <v/>
      </c>
      <c r="Z13" s="426" t="str">
        <f t="shared" si="19"/>
        <v/>
      </c>
      <c r="AA13" s="426">
        <f t="shared" si="19"/>
        <v>2.5275583582461972E+16</v>
      </c>
      <c r="AB13" s="426" t="str">
        <f t="shared" si="19"/>
        <v/>
      </c>
      <c r="AC13" s="500"/>
      <c r="AD13" s="426"/>
      <c r="AE13" s="451">
        <v>1.0936720513474194E+16</v>
      </c>
      <c r="AF13" s="26"/>
      <c r="AG13" s="26"/>
      <c r="AH13" s="26"/>
      <c r="AI13" s="26"/>
      <c r="AJ13" s="26"/>
      <c r="AK13" s="26"/>
      <c r="AL13" s="26"/>
      <c r="AM13" s="26"/>
      <c r="AN13" s="26"/>
      <c r="AO13" s="26"/>
      <c r="AP13" s="1107"/>
      <c r="AQ13" s="1108"/>
      <c r="AR13" s="1108"/>
      <c r="AS13" s="1108"/>
      <c r="AT13" s="1108"/>
      <c r="AU13" s="1108"/>
      <c r="AV13" s="1108"/>
      <c r="AW13" s="1108"/>
      <c r="AX13" s="1108"/>
      <c r="AY13" s="1108"/>
    </row>
    <row r="14" spans="1:51" ht="21.75" customHeight="1" thickTop="1">
      <c r="A14" s="855" t="s">
        <v>1029</v>
      </c>
      <c r="B14" s="1031" t="str">
        <f>R3</f>
        <v>Strong ACID</v>
      </c>
      <c r="C14" s="1003" t="str">
        <f>S3</f>
        <v>Strong BASE</v>
      </c>
      <c r="D14" s="1032" t="str">
        <f>T3</f>
        <v>Carbonic ac.</v>
      </c>
      <c r="E14" s="1042"/>
      <c r="F14" s="1040" t="s">
        <v>1034</v>
      </c>
      <c r="G14" s="1043"/>
      <c r="H14" s="665" t="s">
        <v>644</v>
      </c>
      <c r="I14" s="227">
        <f>I18-(I12+I13)</f>
        <v>1.4363439565651115E-5</v>
      </c>
      <c r="J14" s="996" t="s">
        <v>1025</v>
      </c>
      <c r="K14" s="133"/>
      <c r="L14" s="133"/>
      <c r="M14" s="997">
        <f>S15</f>
        <v>1.3880415343291224E-3</v>
      </c>
      <c r="N14" s="2"/>
      <c r="O14" s="296" t="s">
        <v>596</v>
      </c>
      <c r="P14" s="297"/>
      <c r="Q14" s="111" t="s">
        <v>727</v>
      </c>
      <c r="R14" s="455" t="s">
        <v>734</v>
      </c>
      <c r="S14" s="462">
        <f>0.5*(S12+S13*4)</f>
        <v>0</v>
      </c>
      <c r="T14" s="463">
        <f>0.5*(T12+T13*4)</f>
        <v>0</v>
      </c>
      <c r="U14" s="452" t="s">
        <v>491</v>
      </c>
      <c r="V14" s="426">
        <f>IF(K7="","",(V7*$AB$11^(-6*V$4-6)))</f>
        <v>53505987458783.047</v>
      </c>
      <c r="W14" s="426" t="str">
        <f t="shared" ref="W14:AB14" si="20">IF(L7="","",(W7*$AB$11^(-6*W$4-6)))</f>
        <v/>
      </c>
      <c r="X14" s="426" t="str">
        <f t="shared" si="20"/>
        <v/>
      </c>
      <c r="Y14" s="426" t="str">
        <f t="shared" si="20"/>
        <v/>
      </c>
      <c r="Z14" s="426" t="str">
        <f t="shared" si="20"/>
        <v/>
      </c>
      <c r="AA14" s="426" t="str">
        <f t="shared" si="20"/>
        <v/>
      </c>
      <c r="AB14" s="426" t="str">
        <f t="shared" si="20"/>
        <v/>
      </c>
      <c r="AC14" s="1201"/>
      <c r="AD14" s="1202"/>
      <c r="AE14" s="1203"/>
      <c r="AF14" s="26"/>
      <c r="AG14" s="26"/>
      <c r="AH14" s="26"/>
      <c r="AI14" s="26"/>
      <c r="AJ14" s="26"/>
      <c r="AK14" s="26"/>
      <c r="AL14" s="26"/>
      <c r="AM14" s="26"/>
      <c r="AN14" s="26"/>
      <c r="AO14" s="26"/>
      <c r="AP14" s="1107" t="s">
        <v>1109</v>
      </c>
      <c r="AQ14" s="1108"/>
      <c r="AR14" s="1108"/>
      <c r="AS14" s="1108"/>
      <c r="AT14" s="1108"/>
      <c r="AU14" s="1108"/>
      <c r="AV14" s="1108"/>
      <c r="AW14" s="1108"/>
      <c r="AX14" s="1108"/>
      <c r="AY14" s="1108"/>
    </row>
    <row r="15" spans="1:51" ht="18" customHeight="1">
      <c r="A15" s="856" t="s">
        <v>332</v>
      </c>
      <c r="B15" s="1044"/>
      <c r="C15" s="1045">
        <v>0.1</v>
      </c>
      <c r="D15" s="1046"/>
      <c r="E15" s="1034" t="s">
        <v>1032</v>
      </c>
      <c r="F15" s="1035" t="s">
        <v>608</v>
      </c>
      <c r="G15" s="1036" t="s">
        <v>348</v>
      </c>
      <c r="H15" s="665" t="s">
        <v>1017</v>
      </c>
      <c r="I15" s="228">
        <f>D41</f>
        <v>1.3096149588078488E-3</v>
      </c>
      <c r="J15" s="229">
        <f>IF(C41="",B41,C41)</f>
        <v>2.8861618041992187</v>
      </c>
      <c r="K15" s="1015" t="s">
        <v>1015</v>
      </c>
      <c r="L15" s="127"/>
      <c r="M15" s="398"/>
      <c r="N15" s="2"/>
      <c r="O15" s="298" t="s">
        <v>597</v>
      </c>
      <c r="P15" s="299"/>
      <c r="Q15" s="459" t="s">
        <v>656</v>
      </c>
      <c r="R15" s="457" t="s">
        <v>724</v>
      </c>
      <c r="S15" s="464">
        <f>-(S18/S17) - (G16/E16)*(S24- $AC$9/AU41^2/S24)</f>
        <v>1.3880415343291224E-3</v>
      </c>
      <c r="T15" s="464">
        <f>-T18/T17 - (T24- $AC$9/AE11^2/T24)</f>
        <v>0.10000000007858748</v>
      </c>
      <c r="U15" s="312" t="s">
        <v>493</v>
      </c>
      <c r="V15" s="426" t="str">
        <f>IF(K8="","",(V8*$AB$11^(-8*V$4-12)))</f>
        <v/>
      </c>
      <c r="W15" s="426" t="str">
        <f t="shared" ref="W15:AB15" si="21">IF(L8="","",(W8*$AB$11^(-8*W$4-12)))</f>
        <v/>
      </c>
      <c r="X15" s="426" t="str">
        <f t="shared" si="21"/>
        <v/>
      </c>
      <c r="Y15" s="426" t="str">
        <f t="shared" si="21"/>
        <v/>
      </c>
      <c r="Z15" s="426" t="str">
        <f t="shared" si="21"/>
        <v/>
      </c>
      <c r="AA15" s="426" t="str">
        <f t="shared" si="21"/>
        <v/>
      </c>
      <c r="AB15" s="426" t="str">
        <f t="shared" si="21"/>
        <v/>
      </c>
      <c r="AC15" s="1204"/>
      <c r="AD15" s="750"/>
      <c r="AE15" s="755"/>
      <c r="AF15" s="26"/>
      <c r="AG15" s="26"/>
      <c r="AH15" s="26"/>
      <c r="AI15" s="26"/>
      <c r="AJ15" s="26"/>
      <c r="AK15" s="26"/>
      <c r="AL15" s="26"/>
      <c r="AM15" s="26"/>
      <c r="AN15" s="26"/>
      <c r="AO15" s="26"/>
      <c r="AP15" s="1107"/>
      <c r="AQ15" s="1108"/>
      <c r="AR15" s="1108"/>
      <c r="AS15" s="1108"/>
      <c r="AT15" s="1108"/>
      <c r="AU15" s="1108"/>
      <c r="AV15" s="1108"/>
      <c r="AW15" s="1108"/>
      <c r="AX15" s="1108"/>
      <c r="AY15" s="1108"/>
    </row>
    <row r="16" spans="1:51" ht="19.5" customHeight="1" thickBot="1">
      <c r="A16" s="858" t="s">
        <v>333</v>
      </c>
      <c r="B16" s="857"/>
      <c r="C16" s="778"/>
      <c r="D16" s="779"/>
      <c r="E16" s="1037">
        <v>20</v>
      </c>
      <c r="F16" s="1038">
        <v>0</v>
      </c>
      <c r="G16" s="1039">
        <f>E16+F16</f>
        <v>20</v>
      </c>
      <c r="H16" s="1016" t="s">
        <v>1018</v>
      </c>
      <c r="I16" s="228">
        <f>AB21/I15</f>
        <v>9.5196864083442601E-12</v>
      </c>
      <c r="J16" s="230">
        <f>-LOG(AB21)-J15</f>
        <v>11.018071926370718</v>
      </c>
      <c r="K16" s="998" t="s">
        <v>1016</v>
      </c>
      <c r="L16" s="127"/>
      <c r="M16" s="523">
        <f>AT41</f>
        <v>1.0862132584639951E-2</v>
      </c>
      <c r="N16" s="2"/>
      <c r="O16" s="294" t="s">
        <v>506</v>
      </c>
      <c r="P16" s="295">
        <v>0.50900000000000001</v>
      </c>
      <c r="Q16" s="456" t="s">
        <v>731</v>
      </c>
      <c r="R16" s="454" t="s">
        <v>733</v>
      </c>
      <c r="S16" s="465">
        <f>0.5*S17^2*ABS(S15)</f>
        <v>6.9402076716456121E-4</v>
      </c>
      <c r="T16" s="466">
        <f>0.5*T17^2*ABS(T15)</f>
        <v>5.0000000039293738E-2</v>
      </c>
      <c r="U16" s="312" t="s">
        <v>495</v>
      </c>
      <c r="V16" s="426" t="str">
        <f>IF(K9="","",(V9*$AB$11^(-10*V$4-20)))</f>
        <v/>
      </c>
      <c r="W16" s="426" t="str">
        <f t="shared" ref="W16:AB16" si="22">IF(L9="","",(W9*$AB$11^(-10*W$4-20)))</f>
        <v/>
      </c>
      <c r="X16" s="426" t="str">
        <f t="shared" si="22"/>
        <v/>
      </c>
      <c r="Y16" s="426" t="str">
        <f t="shared" si="22"/>
        <v/>
      </c>
      <c r="Z16" s="426" t="str">
        <f t="shared" si="22"/>
        <v/>
      </c>
      <c r="AA16" s="426" t="str">
        <f t="shared" si="22"/>
        <v/>
      </c>
      <c r="AB16" s="426" t="str">
        <f t="shared" si="22"/>
        <v/>
      </c>
      <c r="AC16" s="1204"/>
      <c r="AD16" s="750"/>
      <c r="AE16" s="755"/>
      <c r="AF16" s="26"/>
      <c r="AG16" s="26"/>
      <c r="AH16" s="26"/>
      <c r="AI16" s="26"/>
      <c r="AJ16" s="26"/>
      <c r="AK16" s="26"/>
      <c r="AL16" s="26"/>
      <c r="AM16" s="26"/>
      <c r="AN16" s="26"/>
      <c r="AO16" s="26"/>
      <c r="AP16" s="1107" t="s">
        <v>1081</v>
      </c>
      <c r="AQ16" s="1108"/>
      <c r="AR16" s="1108"/>
      <c r="AS16" s="1108"/>
      <c r="AT16" s="1108"/>
      <c r="AU16" s="1108"/>
      <c r="AV16" s="1108"/>
      <c r="AW16" s="1108"/>
      <c r="AX16" s="1108"/>
      <c r="AY16" s="1108"/>
    </row>
    <row r="17" spans="1:51" ht="18" customHeight="1" thickTop="1" thickBot="1">
      <c r="A17" s="858" t="s">
        <v>879</v>
      </c>
      <c r="B17" s="782"/>
      <c r="C17" s="782"/>
      <c r="D17" s="783"/>
      <c r="E17" s="859" t="s">
        <v>345</v>
      </c>
      <c r="F17" s="860"/>
      <c r="G17" s="861"/>
      <c r="H17" s="665" t="s">
        <v>1019</v>
      </c>
      <c r="I17" s="228">
        <f>I12+ (G16/E16)*(I15-I16)</f>
        <v>0.10866670914318385</v>
      </c>
      <c r="J17" s="440"/>
      <c r="K17" s="438"/>
      <c r="L17" s="127"/>
      <c r="M17" s="398"/>
      <c r="N17" s="2"/>
      <c r="O17" s="53" t="s">
        <v>507</v>
      </c>
      <c r="P17" s="54">
        <v>0.3</v>
      </c>
      <c r="Q17" s="460" t="s">
        <v>730</v>
      </c>
      <c r="R17" s="458" t="s">
        <v>718</v>
      </c>
      <c r="S17" s="467">
        <v>1</v>
      </c>
      <c r="T17" s="468">
        <v>1</v>
      </c>
      <c r="U17" s="453" t="s">
        <v>497</v>
      </c>
      <c r="V17" s="428" t="str">
        <f>IF(K10="","",(V10*$AB$11^(-12*V$4-30)))</f>
        <v/>
      </c>
      <c r="W17" s="428" t="str">
        <f t="shared" ref="W17:AB17" si="23">IF(L10="","",(W10*$AB$11^(-12*W$4-30)))</f>
        <v/>
      </c>
      <c r="X17" s="428" t="str">
        <f t="shared" si="23"/>
        <v/>
      </c>
      <c r="Y17" s="428" t="str">
        <f t="shared" si="23"/>
        <v/>
      </c>
      <c r="Z17" s="428" t="str">
        <f t="shared" si="23"/>
        <v/>
      </c>
      <c r="AA17" s="428" t="str">
        <f t="shared" si="23"/>
        <v/>
      </c>
      <c r="AB17" s="428" t="str">
        <f t="shared" si="23"/>
        <v/>
      </c>
      <c r="AC17" s="1205"/>
      <c r="AD17" s="751"/>
      <c r="AE17" s="756"/>
      <c r="AF17" s="26"/>
      <c r="AG17" s="26"/>
      <c r="AH17" s="26"/>
      <c r="AI17" s="26"/>
      <c r="AJ17" s="26"/>
      <c r="AK17" s="26"/>
      <c r="AL17" s="26"/>
      <c r="AM17" s="26"/>
      <c r="AN17" s="26"/>
      <c r="AO17" s="26"/>
      <c r="AP17" s="1107"/>
      <c r="AQ17" s="1108"/>
      <c r="AR17" s="1108"/>
      <c r="AS17" s="1108"/>
      <c r="AT17" s="1108"/>
      <c r="AU17" s="1108"/>
      <c r="AV17" s="1108"/>
      <c r="AW17" s="1108"/>
      <c r="AX17" s="1108"/>
      <c r="AY17" s="1108"/>
    </row>
    <row r="18" spans="1:51" ht="20.25" customHeight="1" thickTop="1">
      <c r="A18" s="862" t="s">
        <v>880</v>
      </c>
      <c r="B18" s="739">
        <f>B15+B16+B17</f>
        <v>0</v>
      </c>
      <c r="C18" s="739">
        <f>C15+C16+C17</f>
        <v>0.1</v>
      </c>
      <c r="D18" s="739">
        <f>D15+D16+D17</f>
        <v>0</v>
      </c>
      <c r="E18" s="739">
        <f>SUM(B18:D18)</f>
        <v>0.1</v>
      </c>
      <c r="F18" s="863" t="s">
        <v>1020</v>
      </c>
      <c r="G18" s="864"/>
      <c r="H18" s="665" t="s">
        <v>1153</v>
      </c>
      <c r="I18" s="1029">
        <v>0.11006911411707862</v>
      </c>
      <c r="J18" s="1024" t="s">
        <v>1031</v>
      </c>
      <c r="K18" s="1024"/>
      <c r="L18" s="1024"/>
      <c r="M18" s="1025"/>
      <c r="N18" s="2"/>
      <c r="O18" s="143"/>
      <c r="P18" s="443"/>
      <c r="Q18" s="461" t="s">
        <v>722</v>
      </c>
      <c r="R18" s="474" t="s">
        <v>723</v>
      </c>
      <c r="S18" s="469">
        <f>SUM(V18:AB18)</f>
        <v>-2.6976564836172848E-3</v>
      </c>
      <c r="T18" s="478">
        <f>SUM(AC18:AE18)</f>
        <v>-1.7801328661559514E-4</v>
      </c>
      <c r="U18" s="480" t="s">
        <v>576</v>
      </c>
      <c r="V18" s="494">
        <f t="shared" ref="V18:AB18" si="24">K4*B4+(K4+1)*B5+(K4+2)*B6+(K4+3)*B7+(K4+4)*B8+(K4+5)*B9+(K4+6)*B10</f>
        <v>-1.0653983991796486E-2</v>
      </c>
      <c r="W18" s="495">
        <f t="shared" si="24"/>
        <v>7.956327508179201E-3</v>
      </c>
      <c r="X18" s="495">
        <f t="shared" si="24"/>
        <v>0</v>
      </c>
      <c r="Y18" s="495">
        <f t="shared" si="24"/>
        <v>0</v>
      </c>
      <c r="Z18" s="495">
        <f t="shared" si="24"/>
        <v>0</v>
      </c>
      <c r="AA18" s="495">
        <f t="shared" si="24"/>
        <v>0</v>
      </c>
      <c r="AB18" s="496">
        <f t="shared" si="24"/>
        <v>0</v>
      </c>
      <c r="AC18" s="501">
        <v>0</v>
      </c>
      <c r="AD18" s="495">
        <v>-1.7801328661559514E-4</v>
      </c>
      <c r="AE18" s="502">
        <v>0</v>
      </c>
      <c r="AF18" s="26"/>
      <c r="AG18" s="26"/>
      <c r="AH18" s="26"/>
      <c r="AI18" s="26"/>
      <c r="AJ18" s="26"/>
      <c r="AK18" s="26"/>
      <c r="AL18" s="26"/>
      <c r="AM18" s="26"/>
      <c r="AN18" s="26"/>
      <c r="AO18" s="26"/>
      <c r="AP18" s="1107" t="s">
        <v>1087</v>
      </c>
      <c r="AQ18" s="1108"/>
      <c r="AR18" s="1108"/>
      <c r="AS18" s="1108"/>
      <c r="AT18" s="1108"/>
      <c r="AU18" s="1108"/>
      <c r="AV18" s="1108"/>
      <c r="AW18" s="1108"/>
      <c r="AX18" s="1108"/>
      <c r="AY18" s="1108"/>
    </row>
    <row r="19" spans="1:51" ht="20.25" customHeight="1" thickBot="1">
      <c r="A19" s="865" t="s">
        <v>878</v>
      </c>
      <c r="B19" s="742">
        <f>B16+2*B17</f>
        <v>0</v>
      </c>
      <c r="C19" s="742">
        <f>C16+2*C17</f>
        <v>0</v>
      </c>
      <c r="D19" s="742">
        <f>D16+2*D17</f>
        <v>0</v>
      </c>
      <c r="E19" s="742">
        <f>SUM(B19:D19)</f>
        <v>0</v>
      </c>
      <c r="F19" s="866" t="s">
        <v>905</v>
      </c>
      <c r="G19" s="867">
        <v>12.889207394858074</v>
      </c>
      <c r="H19" s="665" t="s">
        <v>1038</v>
      </c>
      <c r="I19" s="1030">
        <f>SUM($G$41:$G$201)</f>
        <v>1.0070398416075227E-5</v>
      </c>
      <c r="J19" s="1026" t="s">
        <v>1030</v>
      </c>
      <c r="K19" s="1027"/>
      <c r="L19" s="1027"/>
      <c r="M19" s="1028"/>
      <c r="N19" s="2"/>
      <c r="O19" s="143"/>
      <c r="P19" s="443"/>
      <c r="Q19" s="460" t="s">
        <v>735</v>
      </c>
      <c r="R19" s="455" t="s">
        <v>736</v>
      </c>
      <c r="S19" s="469">
        <f>0.5*SUM(V19:AB19)</f>
        <v>9.5133043333115834E-3</v>
      </c>
      <c r="T19" s="478">
        <f>0.5*(SUM(AC19:AE19))</f>
        <v>8.900664330779757E-5</v>
      </c>
      <c r="U19" s="479" t="s">
        <v>720</v>
      </c>
      <c r="V19" s="497">
        <f t="shared" ref="V19:AB19" si="25">V4^2*B4+(V4+1)^2*B5+(V4+2)^2*B6+(V4+3)^2*B7+(V4+4)^2*B8+(V4+5)^2*B9+(V4+6)^2*B10</f>
        <v>1.1070272603406889E-2</v>
      </c>
      <c r="W19" s="498">
        <f t="shared" si="25"/>
        <v>7.9563360632162791E-3</v>
      </c>
      <c r="X19" s="498">
        <f t="shared" si="25"/>
        <v>0</v>
      </c>
      <c r="Y19" s="498">
        <f t="shared" si="25"/>
        <v>0</v>
      </c>
      <c r="Z19" s="498">
        <f t="shared" si="25"/>
        <v>0</v>
      </c>
      <c r="AA19" s="498">
        <f t="shared" si="25"/>
        <v>0</v>
      </c>
      <c r="AB19" s="499">
        <f t="shared" si="25"/>
        <v>0</v>
      </c>
      <c r="AC19" s="503">
        <v>0</v>
      </c>
      <c r="AD19" s="498">
        <v>1.7801328661559514E-4</v>
      </c>
      <c r="AE19" s="481">
        <v>0</v>
      </c>
      <c r="AF19" s="26"/>
      <c r="AG19" s="26"/>
      <c r="AH19" s="26"/>
      <c r="AI19" s="26"/>
      <c r="AJ19" s="26"/>
      <c r="AK19" s="26"/>
      <c r="AL19" s="26"/>
      <c r="AM19" s="26"/>
      <c r="AN19" s="26"/>
      <c r="AO19" s="26"/>
      <c r="AP19" s="1107"/>
      <c r="AQ19" s="1108"/>
      <c r="AR19" s="1108"/>
      <c r="AS19" s="1108"/>
      <c r="AT19" s="1108"/>
      <c r="AU19" s="1108"/>
      <c r="AV19" s="1108"/>
      <c r="AW19" s="1108"/>
      <c r="AX19" s="1108"/>
      <c r="AY19" s="1108"/>
    </row>
    <row r="20" spans="1:51" ht="21" customHeight="1" thickTop="1" thickBot="1">
      <c r="A20" s="60"/>
      <c r="B20" s="60"/>
      <c r="C20" s="26"/>
      <c r="D20" s="26"/>
      <c r="E20" s="9"/>
      <c r="F20" s="118"/>
      <c r="G20" s="118"/>
      <c r="H20" s="1012" t="s">
        <v>1022</v>
      </c>
      <c r="I20" s="266">
        <v>2</v>
      </c>
      <c r="J20" s="1013" t="s">
        <v>1024</v>
      </c>
      <c r="K20" s="489">
        <v>0</v>
      </c>
      <c r="L20" s="1013" t="s">
        <v>1023</v>
      </c>
      <c r="M20" s="489">
        <v>0</v>
      </c>
      <c r="N20" s="2"/>
      <c r="O20" s="143"/>
      <c r="P20" s="443"/>
      <c r="Q20" s="506" t="s">
        <v>728</v>
      </c>
      <c r="R20" s="1056" t="s">
        <v>1011</v>
      </c>
      <c r="S20" s="464">
        <f>S19+S16+S14+0.5*S24/L41+0.5*S25/L41</f>
        <v>1.0862132584639913E-2</v>
      </c>
      <c r="T20" s="507">
        <f>T19+T16+T14+0.5*T24+0.5*T25</f>
        <v>0.10000000007875259</v>
      </c>
      <c r="U20" s="475"/>
      <c r="V20" s="475"/>
      <c r="W20" s="475"/>
      <c r="X20" s="475"/>
      <c r="Y20" s="475"/>
      <c r="Z20" s="475"/>
      <c r="AA20" s="475"/>
      <c r="AB20" s="490" t="s">
        <v>336</v>
      </c>
      <c r="AC20" s="491" t="s">
        <v>336</v>
      </c>
      <c r="AD20" s="26"/>
      <c r="AE20" s="26"/>
      <c r="AF20" s="26"/>
      <c r="AG20" s="26"/>
      <c r="AH20" s="26"/>
      <c r="AI20" s="26"/>
      <c r="AJ20" s="26"/>
      <c r="AK20" s="26"/>
      <c r="AL20" s="26"/>
      <c r="AM20" s="26"/>
      <c r="AN20" s="26"/>
      <c r="AO20" s="26"/>
      <c r="AP20" s="1107" t="s">
        <v>1082</v>
      </c>
      <c r="AQ20" s="1108"/>
      <c r="AR20" s="1108"/>
      <c r="AS20" s="1108"/>
      <c r="AT20" s="1108"/>
      <c r="AU20" s="1108"/>
      <c r="AV20" s="1108"/>
      <c r="AW20" s="1108"/>
      <c r="AX20" s="1108"/>
      <c r="AY20" s="1108"/>
    </row>
    <row r="21" spans="1:51" ht="20.100000000000001" customHeight="1" thickTop="1" thickBot="1">
      <c r="A21" s="60"/>
      <c r="B21" s="60"/>
      <c r="C21" s="26"/>
      <c r="D21" s="26"/>
      <c r="E21" s="26"/>
      <c r="F21" s="26"/>
      <c r="G21" s="26"/>
      <c r="H21" s="26"/>
      <c r="I21" s="26"/>
      <c r="J21" s="26"/>
      <c r="K21" s="26"/>
      <c r="L21" s="26"/>
      <c r="M21" s="26"/>
      <c r="N21" s="2"/>
      <c r="O21" s="143"/>
      <c r="P21" s="443"/>
      <c r="Q21" s="1007" t="s">
        <v>1010</v>
      </c>
      <c r="R21" s="1006" t="s">
        <v>1008</v>
      </c>
      <c r="S21" s="472" t="s">
        <v>602</v>
      </c>
      <c r="T21" s="473" t="s">
        <v>605</v>
      </c>
      <c r="U21" s="476"/>
      <c r="V21" s="476"/>
      <c r="W21" s="476"/>
      <c r="X21" s="476"/>
      <c r="Y21" s="476"/>
      <c r="Z21" s="476"/>
      <c r="AA21" s="476"/>
      <c r="AB21" s="493">
        <f>AC9/S23^2</f>
        <v>1.2467123723527407E-14</v>
      </c>
      <c r="AC21" s="492">
        <f>AC9/T23^2</f>
        <v>1.6483051998946204E-14</v>
      </c>
      <c r="AD21" s="57"/>
      <c r="AE21" s="57"/>
      <c r="AF21" s="26"/>
      <c r="AG21" s="26"/>
      <c r="AH21" s="26"/>
      <c r="AI21" s="26"/>
      <c r="AJ21" s="26"/>
      <c r="AK21" s="26"/>
      <c r="AL21" s="26"/>
      <c r="AM21" s="26"/>
      <c r="AN21" s="26"/>
      <c r="AO21" s="26"/>
      <c r="AP21" s="1107"/>
      <c r="AQ21" s="1108"/>
      <c r="AR21" s="1108"/>
      <c r="AS21" s="1108"/>
      <c r="AT21" s="1108"/>
      <c r="AU21" s="1108"/>
      <c r="AV21" s="1108"/>
      <c r="AW21" s="1108"/>
      <c r="AX21" s="1108"/>
      <c r="AY21" s="1108"/>
    </row>
    <row r="22" spans="1:51" ht="20.100000000000001" customHeight="1" thickTop="1" thickBot="1">
      <c r="A22" s="60"/>
      <c r="B22" s="60"/>
      <c r="C22" s="26"/>
      <c r="D22" s="26"/>
      <c r="E22" s="26"/>
      <c r="F22" s="26"/>
      <c r="G22" s="26"/>
      <c r="H22" s="26"/>
      <c r="I22" s="26"/>
      <c r="J22" s="26"/>
      <c r="K22" s="26"/>
      <c r="L22" s="26"/>
      <c r="M22" s="26"/>
      <c r="N22" s="2"/>
      <c r="O22" s="143"/>
      <c r="P22" s="443"/>
      <c r="Q22" s="1008"/>
      <c r="R22" s="1009" t="s">
        <v>1009</v>
      </c>
      <c r="S22" s="464">
        <f>AT41</f>
        <v>1.0862132584639951E-2</v>
      </c>
      <c r="T22" s="1010">
        <v>0.10000000003620024</v>
      </c>
      <c r="U22" s="26"/>
      <c r="V22" s="476"/>
      <c r="W22" s="476"/>
      <c r="X22" s="476"/>
      <c r="Y22" s="476"/>
      <c r="Z22" s="476"/>
      <c r="AA22" s="476"/>
      <c r="AB22" s="26"/>
      <c r="AC22" s="26"/>
      <c r="AD22" s="26"/>
      <c r="AE22" s="26"/>
      <c r="AF22" s="26"/>
      <c r="AG22" s="26"/>
      <c r="AH22" s="26"/>
      <c r="AI22" s="26"/>
      <c r="AJ22" s="26"/>
      <c r="AK22" s="26"/>
      <c r="AL22" s="26"/>
      <c r="AM22" s="26"/>
      <c r="AN22" s="26"/>
      <c r="AO22" s="26"/>
      <c r="AP22" s="1107" t="s">
        <v>1119</v>
      </c>
      <c r="AQ22" s="1108"/>
      <c r="AR22" s="1108"/>
      <c r="AS22" s="1108"/>
      <c r="AT22" s="1108"/>
      <c r="AU22" s="1108"/>
      <c r="AV22" s="1108"/>
      <c r="AW22" s="1108"/>
      <c r="AX22" s="1108"/>
      <c r="AY22" s="1108"/>
    </row>
    <row r="23" spans="1:51" ht="20.100000000000001" customHeight="1" thickTop="1">
      <c r="A23" s="60"/>
      <c r="B23" s="60"/>
      <c r="C23" s="26"/>
      <c r="D23" s="26"/>
      <c r="E23" s="26"/>
      <c r="F23" s="26"/>
      <c r="G23" s="26"/>
      <c r="H23" s="26"/>
      <c r="I23" s="26"/>
      <c r="J23" s="26"/>
      <c r="K23" s="26"/>
      <c r="L23" s="26"/>
      <c r="M23" s="26"/>
      <c r="N23" s="48" t="s">
        <v>1151</v>
      </c>
      <c r="O23" s="1312"/>
      <c r="P23" s="26"/>
      <c r="Q23" s="482"/>
      <c r="R23" s="518" t="s">
        <v>508</v>
      </c>
      <c r="S23" s="521">
        <f>AU41</f>
        <v>0.89870439443503658</v>
      </c>
      <c r="T23" s="522">
        <v>0.78159394392651715</v>
      </c>
      <c r="U23" s="517"/>
      <c r="V23" s="57"/>
      <c r="W23" s="57"/>
      <c r="X23" s="57"/>
      <c r="Y23" s="57"/>
      <c r="Z23" s="57"/>
      <c r="AA23" s="57"/>
      <c r="AB23" s="26"/>
      <c r="AC23" s="26"/>
      <c r="AD23" s="26"/>
      <c r="AE23" s="26"/>
      <c r="AF23" s="26"/>
      <c r="AG23" s="26"/>
      <c r="AH23" s="26"/>
      <c r="AI23" s="26"/>
      <c r="AJ23" s="26"/>
      <c r="AK23" s="26"/>
      <c r="AL23" s="26"/>
      <c r="AM23" s="26"/>
      <c r="AN23" s="26"/>
      <c r="AO23" s="26"/>
      <c r="AP23" s="1107"/>
      <c r="AQ23" s="1108"/>
      <c r="AR23" s="1108"/>
      <c r="AS23" s="1108"/>
      <c r="AT23" s="1108"/>
      <c r="AU23" s="1108"/>
      <c r="AV23" s="1108"/>
      <c r="AW23" s="1108"/>
      <c r="AX23" s="1108"/>
      <c r="AY23" s="1108"/>
    </row>
    <row r="24" spans="1:51" ht="20.100000000000001" customHeight="1">
      <c r="A24" s="129"/>
      <c r="B24" s="60"/>
      <c r="C24" s="80"/>
      <c r="D24" s="26"/>
      <c r="E24" s="26"/>
      <c r="F24" s="26"/>
      <c r="G24" s="26"/>
      <c r="H24" s="26"/>
      <c r="I24" s="26"/>
      <c r="J24" s="26"/>
      <c r="K24" s="26"/>
      <c r="L24" s="26"/>
      <c r="M24" s="26"/>
      <c r="N24" s="1313" t="s">
        <v>1141</v>
      </c>
      <c r="O24" s="1314">
        <f>AVERAGE(H41:H201)</f>
        <v>-1.2496884891957387E-6</v>
      </c>
      <c r="P24" s="26"/>
      <c r="Q24" s="482"/>
      <c r="R24" s="513" t="s">
        <v>729</v>
      </c>
      <c r="S24" s="514">
        <f>D41</f>
        <v>1.3096149588078488E-3</v>
      </c>
      <c r="T24" s="515">
        <v>1.6512446334362659E-13</v>
      </c>
      <c r="U24" s="26"/>
      <c r="V24" s="2"/>
      <c r="W24" s="26"/>
      <c r="X24" s="26"/>
      <c r="Y24" s="26"/>
      <c r="Z24" s="2"/>
      <c r="AA24" s="26"/>
      <c r="AB24" s="26"/>
      <c r="AC24" s="26"/>
      <c r="AD24" s="26"/>
      <c r="AE24" s="26"/>
      <c r="AF24" s="26"/>
      <c r="AG24" s="26"/>
      <c r="AH24" s="26"/>
      <c r="AI24" s="26"/>
      <c r="AJ24" s="26"/>
      <c r="AK24" s="26"/>
      <c r="AL24" s="26"/>
      <c r="AM24" s="26"/>
      <c r="AN24" s="26"/>
      <c r="AO24" s="26"/>
      <c r="AP24" s="1107" t="s">
        <v>1083</v>
      </c>
      <c r="AQ24" s="1108"/>
      <c r="AR24" s="1108"/>
      <c r="AS24" s="1108"/>
      <c r="AT24" s="1108"/>
      <c r="AU24" s="1108"/>
      <c r="AV24" s="1108"/>
      <c r="AW24" s="1108"/>
      <c r="AX24" s="1108"/>
      <c r="AY24" s="1108"/>
    </row>
    <row r="25" spans="1:51" ht="20.100000000000001" customHeight="1">
      <c r="A25" s="129"/>
      <c r="B25" s="60"/>
      <c r="C25" s="80"/>
      <c r="D25" s="26"/>
      <c r="E25" s="26"/>
      <c r="F25" s="26"/>
      <c r="G25" s="26"/>
      <c r="H25" s="26"/>
      <c r="I25" s="26"/>
      <c r="J25" s="26"/>
      <c r="K25" s="26"/>
      <c r="L25" s="26"/>
      <c r="M25" s="26"/>
      <c r="N25" s="1315" t="s">
        <v>1142</v>
      </c>
      <c r="O25" s="1316">
        <f>MEDIAN(H41:H201)</f>
        <v>-1.1110037801569106E-5</v>
      </c>
      <c r="P25" s="26"/>
      <c r="Q25" s="482"/>
      <c r="R25" s="508" t="s">
        <v>739</v>
      </c>
      <c r="S25" s="510">
        <f>AB21/D41</f>
        <v>9.5196864083442601E-12</v>
      </c>
      <c r="T25" s="504">
        <v>9.9821986792136996E-2</v>
      </c>
      <c r="U25" s="60"/>
      <c r="V25" s="2"/>
      <c r="W25" s="26"/>
      <c r="X25" s="26"/>
      <c r="Y25" s="26"/>
      <c r="Z25" s="2"/>
      <c r="AA25" s="26"/>
      <c r="AB25" s="26"/>
      <c r="AC25" s="26"/>
      <c r="AD25" s="26"/>
      <c r="AE25" s="26"/>
      <c r="AF25" s="26"/>
      <c r="AG25" s="26"/>
      <c r="AH25" s="26"/>
      <c r="AI25" s="26"/>
      <c r="AJ25" s="26"/>
      <c r="AK25" s="26"/>
      <c r="AL25" s="26"/>
      <c r="AM25" s="26"/>
      <c r="AN25" s="26"/>
      <c r="AO25" s="26"/>
      <c r="AP25" s="1107" t="s">
        <v>958</v>
      </c>
      <c r="AQ25" s="1108"/>
      <c r="AR25" s="1108"/>
      <c r="AS25" s="1108"/>
      <c r="AT25" s="1108"/>
      <c r="AU25" s="1108"/>
      <c r="AV25" s="1108"/>
      <c r="AW25" s="1108"/>
      <c r="AX25" s="1108"/>
      <c r="AY25" s="1108"/>
    </row>
    <row r="26" spans="1:51" ht="20.100000000000001" customHeight="1" thickBot="1">
      <c r="A26" s="129"/>
      <c r="B26" s="60"/>
      <c r="C26" s="80"/>
      <c r="D26" s="26"/>
      <c r="E26" s="26"/>
      <c r="F26" s="26"/>
      <c r="G26" s="26"/>
      <c r="H26" s="26"/>
      <c r="I26" s="26"/>
      <c r="J26" s="26"/>
      <c r="K26" s="26"/>
      <c r="L26" s="26"/>
      <c r="M26" s="26"/>
      <c r="N26" s="1315" t="s">
        <v>1143</v>
      </c>
      <c r="O26" s="1316">
        <f>STDEV(H42:H201)</f>
        <v>3.4202921193418118E-4</v>
      </c>
      <c r="P26" s="26"/>
      <c r="Q26" s="511"/>
      <c r="R26" s="1011" t="s">
        <v>331</v>
      </c>
      <c r="S26" s="509">
        <f>IF(C41="",B41,C41)</f>
        <v>2.8861618041992187</v>
      </c>
      <c r="T26" s="505">
        <v>12.889207394858074</v>
      </c>
      <c r="U26" s="60"/>
      <c r="V26" s="2"/>
      <c r="W26" s="26"/>
      <c r="X26" s="26"/>
      <c r="Y26" s="26"/>
      <c r="Z26" s="2"/>
      <c r="AA26" s="26"/>
      <c r="AB26" s="26"/>
      <c r="AC26" s="26"/>
      <c r="AD26" s="26"/>
      <c r="AE26" s="26"/>
      <c r="AF26" s="26"/>
      <c r="AG26" s="26"/>
      <c r="AH26" s="26"/>
      <c r="AI26" s="26"/>
      <c r="AJ26" s="26"/>
      <c r="AK26" s="26"/>
      <c r="AL26" s="26"/>
      <c r="AM26" s="26"/>
      <c r="AN26" s="26"/>
      <c r="AO26" s="26"/>
      <c r="AP26" s="1318" t="s">
        <v>1144</v>
      </c>
      <c r="AQ26" s="1318"/>
      <c r="AR26" s="1318"/>
      <c r="AS26" s="1318"/>
      <c r="AT26" s="1318"/>
      <c r="AU26" s="1318"/>
      <c r="AV26" s="1318"/>
      <c r="AW26" s="1318"/>
      <c r="AX26" s="1318"/>
      <c r="AY26" s="1318"/>
    </row>
    <row r="27" spans="1:51" ht="20.100000000000001" customHeight="1" thickTop="1" thickBot="1">
      <c r="A27" s="129"/>
      <c r="B27" s="60"/>
      <c r="C27" s="26"/>
      <c r="D27" s="26"/>
      <c r="E27" s="26"/>
      <c r="F27" s="26"/>
      <c r="G27" s="26"/>
      <c r="H27" s="26"/>
      <c r="I27" s="26"/>
      <c r="J27" s="26"/>
      <c r="K27" s="26"/>
      <c r="L27" s="26"/>
      <c r="M27" s="26"/>
      <c r="N27" s="1317" t="s">
        <v>1146</v>
      </c>
      <c r="O27" s="1319">
        <f>100*O26/I17</f>
        <v>0.31475068549606028</v>
      </c>
      <c r="P27" s="26"/>
      <c r="Q27" s="26"/>
      <c r="R27" s="26"/>
      <c r="S27" s="26"/>
      <c r="T27" s="26"/>
      <c r="U27" s="26"/>
      <c r="V27" s="2"/>
      <c r="W27" s="26"/>
      <c r="X27" s="26"/>
      <c r="Y27" s="26"/>
      <c r="Z27" s="2"/>
      <c r="AA27" s="26"/>
      <c r="AB27" s="26"/>
      <c r="AC27" s="26"/>
      <c r="AD27" s="26"/>
      <c r="AE27" s="26"/>
      <c r="AF27" s="26"/>
      <c r="AG27" s="26"/>
      <c r="AH27" s="26"/>
      <c r="AI27" s="26"/>
      <c r="AJ27" s="26"/>
      <c r="AK27" s="26"/>
      <c r="AL27" s="26"/>
      <c r="AM27" s="26"/>
      <c r="AN27" s="26"/>
      <c r="AO27" s="26"/>
      <c r="AP27" s="1318" t="s">
        <v>1145</v>
      </c>
      <c r="AQ27" s="1318"/>
      <c r="AR27" s="1318"/>
      <c r="AS27" s="1318"/>
      <c r="AT27" s="1318"/>
      <c r="AU27" s="1318"/>
      <c r="AV27" s="1318"/>
      <c r="AW27" s="1318"/>
      <c r="AX27" s="1318"/>
      <c r="AY27" s="1318"/>
    </row>
    <row r="28" spans="1:51" ht="20.100000000000001" customHeight="1" thickTop="1">
      <c r="A28" s="129"/>
      <c r="B28" s="60"/>
      <c r="C28" s="26"/>
      <c r="D28" s="26"/>
      <c r="E28" s="26"/>
      <c r="F28" s="26"/>
      <c r="G28" s="26"/>
      <c r="H28" s="26"/>
      <c r="I28" s="26"/>
      <c r="J28" s="26"/>
      <c r="K28" s="26"/>
      <c r="L28" s="26"/>
      <c r="M28" s="26"/>
      <c r="N28" s="26"/>
      <c r="O28" s="26"/>
      <c r="P28" s="26"/>
      <c r="Q28" s="26"/>
      <c r="R28" s="26"/>
      <c r="S28" s="26"/>
      <c r="T28" s="26"/>
      <c r="U28" s="2"/>
      <c r="V28" s="2"/>
      <c r="W28" s="26"/>
      <c r="X28" s="26"/>
      <c r="Y28" s="26"/>
      <c r="Z28" s="2"/>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row>
    <row r="29" spans="1:51" ht="20.100000000000001" customHeight="1">
      <c r="A29" s="129"/>
      <c r="B29" s="60"/>
      <c r="C29" s="26"/>
      <c r="D29" s="26"/>
      <c r="E29" s="26"/>
      <c r="F29" s="26"/>
      <c r="G29" s="26"/>
      <c r="H29" s="26"/>
      <c r="I29" s="26"/>
      <c r="J29" s="26"/>
      <c r="K29" s="26"/>
      <c r="L29" s="26"/>
      <c r="M29" s="26"/>
      <c r="N29" s="26"/>
      <c r="O29" s="26"/>
      <c r="P29" s="26"/>
      <c r="Q29" s="1123"/>
      <c r="R29" s="1124" t="s">
        <v>598</v>
      </c>
      <c r="S29" s="1125"/>
      <c r="T29" s="26"/>
      <c r="U29" s="26"/>
      <c r="V29" s="2"/>
      <c r="W29" s="26"/>
      <c r="X29" s="26"/>
      <c r="Y29" s="26"/>
      <c r="Z29" s="2"/>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row>
    <row r="30" spans="1:51" ht="20.100000000000001" customHeight="1" thickBot="1">
      <c r="A30" s="60"/>
      <c r="B30" s="60"/>
      <c r="C30" s="26"/>
      <c r="D30" s="26"/>
      <c r="E30" s="26"/>
      <c r="F30" s="26"/>
      <c r="G30" s="26"/>
      <c r="H30" s="26"/>
      <c r="I30" s="26"/>
      <c r="J30" s="26"/>
      <c r="K30" s="26"/>
      <c r="L30" s="26"/>
      <c r="M30" s="26"/>
      <c r="N30" s="26"/>
      <c r="O30" s="26"/>
      <c r="P30" s="26"/>
      <c r="Q30" s="928"/>
      <c r="R30" s="611" t="s">
        <v>599</v>
      </c>
      <c r="S30" s="612"/>
      <c r="T30" s="26"/>
      <c r="U30" s="26"/>
      <c r="V30" s="2"/>
      <c r="W30" s="26"/>
      <c r="X30" s="26"/>
      <c r="Y30" s="26"/>
      <c r="Z30" s="2"/>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row>
    <row r="31" spans="1:51" ht="20.100000000000001" customHeight="1" thickTop="1">
      <c r="A31" s="60"/>
      <c r="B31" s="60"/>
      <c r="C31" s="26"/>
      <c r="D31" s="26"/>
      <c r="E31" s="26"/>
      <c r="F31" s="26"/>
      <c r="G31" s="26"/>
      <c r="H31" s="26"/>
      <c r="I31" s="26"/>
      <c r="J31" s="26"/>
      <c r="K31" s="26"/>
      <c r="L31" s="26"/>
      <c r="M31" s="26"/>
      <c r="N31" s="48" t="s">
        <v>1152</v>
      </c>
      <c r="O31" s="1312"/>
      <c r="P31" s="2"/>
      <c r="Q31" s="929"/>
      <c r="R31" s="929" t="s">
        <v>600</v>
      </c>
      <c r="S31" s="930"/>
      <c r="T31" s="26"/>
      <c r="U31" s="2"/>
      <c r="V31" s="2"/>
      <c r="W31" s="26"/>
      <c r="X31" s="26"/>
      <c r="Y31" s="26"/>
      <c r="Z31" s="2"/>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row>
    <row r="32" spans="1:51" ht="20.100000000000001" customHeight="1">
      <c r="A32" s="60"/>
      <c r="B32" s="60"/>
      <c r="C32" s="26"/>
      <c r="D32" s="26"/>
      <c r="E32" s="26"/>
      <c r="F32" s="26"/>
      <c r="G32" s="26"/>
      <c r="H32" s="26"/>
      <c r="I32" s="26"/>
      <c r="J32" s="26"/>
      <c r="K32" s="26"/>
      <c r="L32" s="26"/>
      <c r="M32" s="26"/>
      <c r="N32" s="1313" t="s">
        <v>1141</v>
      </c>
      <c r="O32" s="1320">
        <f>AVERAGE(F41:F201)</f>
        <v>-3.1806248192112478E-3</v>
      </c>
      <c r="P32" s="2"/>
      <c r="Q32" s="931"/>
      <c r="R32" s="931" t="s">
        <v>601</v>
      </c>
      <c r="S32" s="629"/>
      <c r="T32" s="2"/>
      <c r="U32" s="2"/>
      <c r="V32" s="2"/>
      <c r="W32" s="26"/>
      <c r="X32" s="26"/>
      <c r="Y32" s="26"/>
      <c r="Z32" s="2"/>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row>
    <row r="33" spans="1:53" ht="20.100000000000001" customHeight="1">
      <c r="A33" s="60"/>
      <c r="B33" s="60"/>
      <c r="C33" s="26"/>
      <c r="D33" s="26"/>
      <c r="E33" s="26"/>
      <c r="F33" s="26"/>
      <c r="G33" s="26"/>
      <c r="H33" s="26"/>
      <c r="I33" s="26"/>
      <c r="J33" s="26"/>
      <c r="K33" s="26"/>
      <c r="L33" s="26"/>
      <c r="M33" s="26"/>
      <c r="N33" s="1315" t="s">
        <v>1142</v>
      </c>
      <c r="O33" s="1321">
        <f>MEDIAN(F41:F201)</f>
        <v>1.2763557699511097E-3</v>
      </c>
      <c r="P33" s="2"/>
      <c r="Q33" s="2"/>
      <c r="R33" s="2"/>
      <c r="S33" s="2"/>
      <c r="T33" s="2"/>
      <c r="U33" s="2"/>
      <c r="V33" s="2"/>
      <c r="W33" s="26"/>
      <c r="X33" s="26"/>
      <c r="Y33" s="26"/>
      <c r="Z33" s="2"/>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row>
    <row r="34" spans="1:53" ht="20.100000000000001" customHeight="1" thickBot="1">
      <c r="A34" s="60"/>
      <c r="B34" s="60"/>
      <c r="C34" s="26"/>
      <c r="D34" s="26"/>
      <c r="E34" s="26"/>
      <c r="F34" s="26"/>
      <c r="G34" s="26"/>
      <c r="H34" s="26"/>
      <c r="I34" s="26"/>
      <c r="J34" s="26"/>
      <c r="K34" s="26"/>
      <c r="L34" s="26"/>
      <c r="M34" s="26"/>
      <c r="N34" s="1317" t="s">
        <v>1143</v>
      </c>
      <c r="O34" s="1322">
        <f>STDEV(F41:F201)</f>
        <v>2.3430665240904126E-2</v>
      </c>
      <c r="P34" s="2"/>
      <c r="Q34" s="2"/>
      <c r="R34" s="2"/>
      <c r="S34" s="2"/>
      <c r="T34" s="2"/>
      <c r="U34" s="2"/>
      <c r="V34" s="2"/>
      <c r="W34" s="26"/>
      <c r="X34" s="26"/>
      <c r="Y34" s="26"/>
      <c r="Z34" s="2"/>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row>
    <row r="35" spans="1:53" ht="20.100000000000001" customHeight="1" thickTop="1">
      <c r="A35" s="60"/>
      <c r="B35" s="60"/>
      <c r="C35" s="26"/>
      <c r="D35" s="26"/>
      <c r="E35" s="26"/>
      <c r="F35" s="26"/>
      <c r="G35" s="26"/>
      <c r="H35" s="26"/>
      <c r="I35" s="26"/>
      <c r="J35" s="26"/>
      <c r="K35" s="26"/>
      <c r="L35" s="26"/>
      <c r="M35" s="26"/>
      <c r="N35" s="26"/>
      <c r="O35" s="26"/>
      <c r="P35" s="2"/>
      <c r="Q35" s="2"/>
      <c r="R35" s="2"/>
      <c r="S35" s="1017" t="s">
        <v>349</v>
      </c>
      <c r="T35" s="2"/>
      <c r="U35" s="2"/>
      <c r="V35" s="2"/>
      <c r="W35" s="26"/>
      <c r="X35" s="26"/>
      <c r="Y35" s="26"/>
      <c r="Z35" s="2"/>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row>
    <row r="36" spans="1:53" ht="20.100000000000001" customHeight="1">
      <c r="A36" s="60"/>
      <c r="B36" s="60"/>
      <c r="C36" s="26"/>
      <c r="D36" s="26"/>
      <c r="E36" s="26"/>
      <c r="F36" s="26"/>
      <c r="G36" s="26"/>
      <c r="H36" s="26"/>
      <c r="I36" s="26"/>
      <c r="J36" s="26"/>
      <c r="K36" s="26"/>
      <c r="L36" s="26"/>
      <c r="M36" s="26"/>
      <c r="N36" s="26"/>
      <c r="O36" s="1018"/>
      <c r="P36" s="2"/>
      <c r="Q36" s="2"/>
      <c r="R36" s="2"/>
      <c r="S36" s="2"/>
      <c r="T36" s="2"/>
      <c r="U36" s="2"/>
      <c r="V36" s="2"/>
      <c r="W36" s="26"/>
      <c r="X36" s="26"/>
      <c r="Y36" s="26"/>
      <c r="Z36" s="2"/>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row>
    <row r="37" spans="1:53" ht="20.100000000000001" customHeight="1">
      <c r="A37" s="60"/>
      <c r="B37" s="60"/>
      <c r="C37" s="26"/>
      <c r="D37" s="26"/>
      <c r="E37" s="26"/>
      <c r="F37" s="26"/>
      <c r="G37" s="26"/>
      <c r="H37" s="26"/>
      <c r="I37" s="26"/>
      <c r="J37" s="26"/>
      <c r="K37" s="26"/>
      <c r="L37" s="26"/>
      <c r="M37" s="26"/>
      <c r="N37" s="26"/>
      <c r="O37" s="1018"/>
      <c r="P37" s="2"/>
      <c r="Q37" s="220"/>
      <c r="R37" s="2"/>
      <c r="S37" s="2"/>
      <c r="T37" s="2"/>
      <c r="U37" s="26"/>
      <c r="V37" s="2"/>
      <c r="W37" s="2"/>
      <c r="X37" s="26"/>
      <c r="Y37" s="26"/>
      <c r="Z37" s="2"/>
      <c r="AA37" s="26"/>
      <c r="AB37" s="26"/>
      <c r="AC37" s="26"/>
      <c r="AD37" s="26"/>
      <c r="AE37" s="26"/>
      <c r="AF37" s="26"/>
      <c r="AG37" s="26"/>
      <c r="AH37" s="26"/>
      <c r="AI37" s="26"/>
      <c r="AJ37" s="26"/>
      <c r="AK37" s="26"/>
      <c r="AL37" s="26"/>
      <c r="AM37" s="26"/>
      <c r="AN37" s="26"/>
      <c r="AO37" s="26"/>
      <c r="AP37" s="26"/>
      <c r="AQ37" s="26"/>
      <c r="AR37" s="477"/>
      <c r="AS37" s="26"/>
      <c r="AT37" s="26"/>
      <c r="AU37" s="26"/>
      <c r="AV37" s="26"/>
      <c r="AW37" s="26"/>
      <c r="AX37" s="26"/>
      <c r="AY37" s="26"/>
    </row>
    <row r="38" spans="1:53" ht="21.95" customHeight="1">
      <c r="A38" s="486" t="s">
        <v>1147</v>
      </c>
      <c r="B38" s="60"/>
      <c r="C38" s="26"/>
      <c r="D38" s="26"/>
      <c r="E38" s="26"/>
      <c r="F38" s="322"/>
      <c r="G38" s="486" t="s">
        <v>1154</v>
      </c>
      <c r="H38" s="486"/>
      <c r="I38" s="486"/>
      <c r="J38" s="486"/>
      <c r="K38" s="26"/>
      <c r="L38" s="26"/>
      <c r="M38" s="26"/>
      <c r="N38" s="439"/>
      <c r="O38" s="1018"/>
      <c r="P38" s="2"/>
      <c r="Q38" s="2"/>
      <c r="R38" s="2"/>
      <c r="S38" s="2"/>
      <c r="T38" s="26"/>
      <c r="U38" s="26"/>
      <c r="V38" s="26"/>
      <c r="W38" s="26"/>
      <c r="X38" s="26"/>
      <c r="Y38" s="26"/>
      <c r="Z38" s="26"/>
      <c r="AA38" s="26"/>
      <c r="AB38" s="26"/>
      <c r="AC38" s="26"/>
      <c r="AD38" s="26"/>
      <c r="AE38" s="26"/>
      <c r="AF38" s="26"/>
      <c r="AG38" s="128"/>
      <c r="AH38" s="26"/>
      <c r="AI38" s="26"/>
      <c r="AJ38" s="26"/>
      <c r="AK38" s="26"/>
      <c r="AL38" s="26"/>
      <c r="AM38" s="26"/>
      <c r="AN38" s="26"/>
      <c r="AO38" s="26"/>
      <c r="AP38" s="26"/>
      <c r="AQ38" s="26"/>
      <c r="AR38" s="26"/>
      <c r="AS38" s="26"/>
      <c r="AT38" s="26"/>
      <c r="AU38" s="26"/>
      <c r="AV38" s="26"/>
      <c r="AW38" s="26"/>
      <c r="AX38" s="26"/>
      <c r="AY38" s="26"/>
    </row>
    <row r="39" spans="1:53" s="4" customFormat="1" ht="18.75">
      <c r="A39" s="130" t="s">
        <v>1027</v>
      </c>
      <c r="B39" s="423" t="s">
        <v>741</v>
      </c>
      <c r="C39" s="1109" t="s">
        <v>742</v>
      </c>
      <c r="D39" s="121" t="s">
        <v>578</v>
      </c>
      <c r="E39" s="121" t="s">
        <v>312</v>
      </c>
      <c r="F39" s="121" t="s">
        <v>1150</v>
      </c>
      <c r="G39" s="121" t="s">
        <v>1149</v>
      </c>
      <c r="H39" s="442" t="s">
        <v>1013</v>
      </c>
      <c r="I39" s="442" t="s">
        <v>717</v>
      </c>
      <c r="J39" s="121" t="s">
        <v>1014</v>
      </c>
      <c r="K39" s="121" t="s">
        <v>631</v>
      </c>
      <c r="L39" s="121" t="s">
        <v>632</v>
      </c>
      <c r="M39" s="121" t="s">
        <v>697</v>
      </c>
      <c r="N39" s="121" t="s">
        <v>698</v>
      </c>
      <c r="O39" s="121" t="s">
        <v>699</v>
      </c>
      <c r="P39" s="121" t="s">
        <v>700</v>
      </c>
      <c r="Q39" s="121" t="s">
        <v>701</v>
      </c>
      <c r="R39" s="121" t="s">
        <v>702</v>
      </c>
      <c r="S39" s="121" t="s">
        <v>703</v>
      </c>
      <c r="T39" s="121" t="s">
        <v>704</v>
      </c>
      <c r="U39" s="121" t="s">
        <v>705</v>
      </c>
      <c r="V39" s="121" t="s">
        <v>706</v>
      </c>
      <c r="W39" s="121" t="s">
        <v>337</v>
      </c>
      <c r="X39" s="121" t="s">
        <v>338</v>
      </c>
      <c r="Y39" s="121" t="s">
        <v>339</v>
      </c>
      <c r="Z39" s="121" t="s">
        <v>340</v>
      </c>
      <c r="AA39" s="121" t="s">
        <v>341</v>
      </c>
      <c r="AB39" s="121" t="s">
        <v>342</v>
      </c>
      <c r="AC39" s="121" t="s">
        <v>344</v>
      </c>
      <c r="AD39" s="121" t="s">
        <v>627</v>
      </c>
      <c r="AE39" s="121" t="s">
        <v>628</v>
      </c>
      <c r="AF39" s="121" t="s">
        <v>629</v>
      </c>
      <c r="AG39" s="436" t="s">
        <v>707</v>
      </c>
      <c r="AH39" s="436" t="s">
        <v>708</v>
      </c>
      <c r="AI39" s="436" t="s">
        <v>709</v>
      </c>
      <c r="AJ39" s="436" t="s">
        <v>710</v>
      </c>
      <c r="AK39" s="436" t="s">
        <v>711</v>
      </c>
      <c r="AL39" s="436" t="s">
        <v>712</v>
      </c>
      <c r="AM39" s="436" t="s">
        <v>713</v>
      </c>
      <c r="AN39" s="436" t="s">
        <v>714</v>
      </c>
      <c r="AO39" s="436" t="s">
        <v>715</v>
      </c>
      <c r="AP39" s="436" t="s">
        <v>716</v>
      </c>
      <c r="AQ39" s="435" t="s">
        <v>1002</v>
      </c>
      <c r="AR39" s="436" t="s">
        <v>1003</v>
      </c>
      <c r="AS39" s="587" t="s">
        <v>1099</v>
      </c>
      <c r="AT39" s="435" t="s">
        <v>1004</v>
      </c>
      <c r="AU39" s="434" t="s">
        <v>508</v>
      </c>
      <c r="AV39" s="434"/>
      <c r="AW39" s="121" t="s">
        <v>1026</v>
      </c>
      <c r="AX39" s="121" t="s">
        <v>1155</v>
      </c>
      <c r="AY39" s="26"/>
    </row>
    <row r="40" spans="1:53" s="156" customFormat="1" ht="24" customHeight="1">
      <c r="A40" s="137" t="s">
        <v>579</v>
      </c>
      <c r="B40" s="137" t="s">
        <v>694</v>
      </c>
      <c r="C40" s="138" t="s">
        <v>743</v>
      </c>
      <c r="D40" s="138" t="s">
        <v>580</v>
      </c>
      <c r="E40" s="1014" t="s">
        <v>1012</v>
      </c>
      <c r="F40" s="1014" t="s">
        <v>1012</v>
      </c>
      <c r="G40" s="441" t="s">
        <v>1148</v>
      </c>
      <c r="H40" s="138" t="s">
        <v>580</v>
      </c>
      <c r="I40" s="138" t="s">
        <v>580</v>
      </c>
      <c r="J40" s="138" t="s">
        <v>580</v>
      </c>
      <c r="K40" s="138"/>
      <c r="L40" s="138"/>
      <c r="M40" s="219" t="str">
        <f t="shared" ref="M40:V40" si="26">K3</f>
        <v>Citric acid</v>
      </c>
      <c r="N40" s="219" t="str">
        <f t="shared" si="26"/>
        <v>Glycine</v>
      </c>
      <c r="O40" s="219" t="str">
        <f t="shared" si="26"/>
        <v xml:space="preserve">Ascorbic acid </v>
      </c>
      <c r="P40" s="219" t="str">
        <f t="shared" si="26"/>
        <v>Acetic acid</v>
      </c>
      <c r="Q40" s="219" t="str">
        <f t="shared" si="26"/>
        <v>Ammonia</v>
      </c>
      <c r="R40" s="219" t="str">
        <f t="shared" si="26"/>
        <v>Carbonic acid</v>
      </c>
      <c r="S40" s="219" t="str">
        <f t="shared" si="26"/>
        <v>HCl</v>
      </c>
      <c r="T40" s="244" t="str">
        <f t="shared" si="26"/>
        <v>Strong ACID</v>
      </c>
      <c r="U40" s="244" t="str">
        <f t="shared" si="26"/>
        <v>Strong BASE</v>
      </c>
      <c r="V40" s="219" t="str">
        <f t="shared" si="26"/>
        <v>Carbonic ac.</v>
      </c>
      <c r="W40" s="219" t="str">
        <f t="shared" ref="W40:AF40" si="27">K3</f>
        <v>Citric acid</v>
      </c>
      <c r="X40" s="219" t="str">
        <f t="shared" si="27"/>
        <v>Glycine</v>
      </c>
      <c r="Y40" s="219" t="str">
        <f t="shared" si="27"/>
        <v xml:space="preserve">Ascorbic acid </v>
      </c>
      <c r="Z40" s="219" t="str">
        <f t="shared" si="27"/>
        <v>Acetic acid</v>
      </c>
      <c r="AA40" s="219" t="str">
        <f t="shared" si="27"/>
        <v>Ammonia</v>
      </c>
      <c r="AB40" s="219" t="str">
        <f t="shared" si="27"/>
        <v>Carbonic acid</v>
      </c>
      <c r="AC40" s="219" t="str">
        <f t="shared" si="27"/>
        <v>HCl</v>
      </c>
      <c r="AD40" s="219" t="str">
        <f t="shared" si="27"/>
        <v>Strong ACID</v>
      </c>
      <c r="AE40" s="219" t="str">
        <f t="shared" si="27"/>
        <v>Strong BASE</v>
      </c>
      <c r="AF40" s="219" t="str">
        <f t="shared" si="27"/>
        <v>Carbonic ac.</v>
      </c>
      <c r="AG40" s="219" t="str">
        <f t="shared" ref="AG40:AM40" si="28">K3</f>
        <v>Citric acid</v>
      </c>
      <c r="AH40" s="219" t="str">
        <f t="shared" si="28"/>
        <v>Glycine</v>
      </c>
      <c r="AI40" s="219" t="str">
        <f t="shared" si="28"/>
        <v xml:space="preserve">Ascorbic acid </v>
      </c>
      <c r="AJ40" s="219" t="str">
        <f t="shared" si="28"/>
        <v>Acetic acid</v>
      </c>
      <c r="AK40" s="219" t="str">
        <f t="shared" si="28"/>
        <v>Ammonia</v>
      </c>
      <c r="AL40" s="219" t="str">
        <f t="shared" si="28"/>
        <v>Carbonic acid</v>
      </c>
      <c r="AM40" s="219" t="str">
        <f t="shared" si="28"/>
        <v>HCl</v>
      </c>
      <c r="AN40" s="219" t="str">
        <f>R3</f>
        <v>Strong ACID</v>
      </c>
      <c r="AO40" s="219" t="str">
        <f>S3</f>
        <v>Strong BASE</v>
      </c>
      <c r="AP40" s="219" t="str">
        <f>T3</f>
        <v>Carbonic ac.</v>
      </c>
      <c r="AQ40" s="720" t="s">
        <v>580</v>
      </c>
      <c r="AR40" s="437" t="s">
        <v>580</v>
      </c>
      <c r="AS40" s="1014" t="s">
        <v>1100</v>
      </c>
      <c r="AT40" s="1014" t="s">
        <v>1006</v>
      </c>
      <c r="AU40" s="1005" t="s">
        <v>1005</v>
      </c>
      <c r="AV40" s="110"/>
      <c r="AW40" s="110"/>
      <c r="AX40" s="1323" t="s">
        <v>1156</v>
      </c>
      <c r="AY40" s="26"/>
      <c r="AZ40" s="1000"/>
    </row>
    <row r="41" spans="1:53">
      <c r="A41" s="6">
        <v>0</v>
      </c>
      <c r="B41" s="512">
        <v>2.9292395076433086</v>
      </c>
      <c r="C41" s="125">
        <v>2.8861618041992187</v>
      </c>
      <c r="D41" s="124">
        <f>IF(A41="","",10^-((((B41-P$12)/P$13)+7))/$AU41)</f>
        <v>1.3096149588078488E-3</v>
      </c>
      <c r="E41" s="124">
        <f>IF(A42="","0",(B42-B41)/(A42-A41))</f>
        <v>0.1082286251696329</v>
      </c>
      <c r="F41" s="125">
        <f>IF(A41="","",IF(C41="","0,00001",(IF(ABS(C41-B41)&lt;0.00001,0.00001,C41-B41))))</f>
        <v>-4.3077703444089899E-2</v>
      </c>
      <c r="G41" s="123">
        <f>IF(A41="","",IF(AX41="X",0,IF(ABS(E41)&lt;0.00001,(0.00001^M$20)*(ABS(H41)^I$20)*ABS(F41)^K$20,((ABS(E41))^M$20)*((ABS(H41))^I$20)*ABS(F41)^K$20)))</f>
        <v>1.9667397108048583E-6</v>
      </c>
      <c r="H41" s="123">
        <f>IF(A41="","",I41-J41)</f>
        <v>1.4024049738947941E-3</v>
      </c>
      <c r="I41" s="124">
        <f>IF(A41="","",L41*I$18+K41*E$19)</f>
        <v>0.11006911411707862</v>
      </c>
      <c r="J41" s="124">
        <f>IF(A41="","",D41 -$AC$9/AU41^2/D41+L41*(W41*$B$11+X41*$C$11+Y41*$D$11+Z41*$E$11+AA41*$F$11+AB41*$G$11+AC41*$H$11)+K41*(AD41*$B$18+AE41*$C$18+AF41*$D$18))</f>
        <v>0.10866670914318383</v>
      </c>
      <c r="K41" s="125">
        <f>IF(A41="","",A41/(A41+$G$16))</f>
        <v>0</v>
      </c>
      <c r="L41" s="125">
        <f>IF(A41="","",$E$16/(A41+$G$16))</f>
        <v>1</v>
      </c>
      <c r="M41" s="123">
        <f t="shared" ref="M41:S41" si="29">IF($A41="","",(1+(V$5*$AU41^(-2*V$4))*$D41+(V$6*$AU41^(-4*V$4-2))*$D41^2+(V$7*$AU41^(-6*V$4-6))*$D41^3+(V$8*$AU41^(-8*V$4-12))*$D41^4+(V$9*$AU41^(-10*V$4-20))*$D41^5+(V$10*$AU41^(-12*V$4-30))*$D41^6))</f>
        <v>206515.25484990954</v>
      </c>
      <c r="N41" s="123">
        <f t="shared" si="29"/>
        <v>8204242.6240422362</v>
      </c>
      <c r="O41" s="123">
        <f t="shared" si="29"/>
        <v>7541124306.7733831</v>
      </c>
      <c r="P41" s="123">
        <f t="shared" si="29"/>
        <v>61.447362723289615</v>
      </c>
      <c r="Q41" s="123">
        <f t="shared" si="29"/>
        <v>2296909.1411733869</v>
      </c>
      <c r="R41" s="123">
        <f t="shared" si="29"/>
        <v>43368157156.45343</v>
      </c>
      <c r="S41" s="123">
        <f t="shared" si="29"/>
        <v>1.0000000001057738</v>
      </c>
      <c r="T41" s="123">
        <f>IF($A41="","",(1+(AC$5*$AU41^(-2*AC$4))*$D41+(AC$6*$AU41^(-4*AC$4-2))*$D41^2))</f>
        <v>1.0000000001057738</v>
      </c>
      <c r="U41" s="123">
        <f>IF($A41="","",(1+(AD$5*$AU41^(-2*AD$4))*$D41+(AD$6*$AU41^(-4*AD$4-2))*$D41^2))</f>
        <v>5880000427372.9082</v>
      </c>
      <c r="V41" s="123">
        <f>IF($A41="","",(1+(AE$5*$AU41^(-2*AE$4))*$D41+(AE$6*$AU41^(-4*AE$4-2))*$D41^2))</f>
        <v>43368157156.45343</v>
      </c>
      <c r="W41" s="19">
        <f t="shared" ref="W41:AC41" si="30">IF($A41="","",((V$5*$AU41^(-2*V$4))*$D41+2*(V$6*$AU41^(-4*V$4-2))*$D41^2+3*(V$7*$AU41^(-6*V$4-6))*$D41^3+4*(V$8*$AU41^(-8*V$4-12))*$D41^4+5*(V$9*$AU41^(-10*V$4-20))*$D41^5+6*(V$10*$AU41^(-12*V$4-30))*$D41^6)/M41)</f>
        <v>2.5736186420184843</v>
      </c>
      <c r="X41" s="19">
        <f t="shared" si="30"/>
        <v>1.2267160445460894</v>
      </c>
      <c r="Y41" s="19">
        <f t="shared" si="30"/>
        <v>1.9301486200626503</v>
      </c>
      <c r="Z41" s="19">
        <f t="shared" si="30"/>
        <v>0.98372590855520992</v>
      </c>
      <c r="AA41" s="19">
        <f t="shared" si="30"/>
        <v>0.99999956463232176</v>
      </c>
      <c r="AB41" s="19">
        <f t="shared" si="30"/>
        <v>1.9995798153645989</v>
      </c>
      <c r="AC41" s="19">
        <f t="shared" si="30"/>
        <v>1.0577389520731927E-10</v>
      </c>
      <c r="AD41" s="19">
        <f>IF($A41="","",((AC$5*$AU41^(-2*AC$4))*$D41+2*(AC$6*$AU41^(-4*AC$4-2))*$D41^2)/T41)</f>
        <v>1.0577389453167715E-10</v>
      </c>
      <c r="AE41" s="19">
        <f>IF($A41="","",((AD$5*$AU41^(-2*AD$4))*$D41+2*(AD$6*$AU41^(-4*AD$4-2))*$D41^2)/U41)</f>
        <v>0.99999999999982991</v>
      </c>
      <c r="AF41" s="19">
        <f>IF($A41="","",((AE$5*$AU41^(-2*AE$4))*$D41+2*(AE$6*$AU41^(-4*AE$4-2))*$D41^2)/V41)</f>
        <v>1.9995798153645989</v>
      </c>
      <c r="AG41" s="123">
        <f t="shared" ref="AG41:AM41" si="31">IF(B$11=0,"",IF($A41="","",0.5*B$11*$L41*(1*V$4^2+(V$5*$AU41^(-2*V$4))*$D41*(V$4+1)^2+(V$6*$AU41^(-4*V$4-2))*$D41^2*(V$4+2)^2+(V$7*$AU41^(-6*V$4-6))*$D41^3*(V$4+3)^2+(V$8*$AU41^(-8*V$4-12))*$D41^4*(V$4+4)^2+(V$9*$AU41^(-10*V$4-20))*$D41^5*(V$4+5)^2+(V$10*$AU41^(-12*V$4-30))*$D41^6*(V$4+6)^2)/M41))</f>
        <v>5.5351363017034456E-3</v>
      </c>
      <c r="AH41" s="123">
        <f t="shared" si="31"/>
        <v>3.9781680316081395E-3</v>
      </c>
      <c r="AI41" s="123" t="str">
        <f t="shared" si="31"/>
        <v/>
      </c>
      <c r="AJ41" s="123" t="str">
        <f t="shared" si="31"/>
        <v/>
      </c>
      <c r="AK41" s="123" t="str">
        <f t="shared" si="31"/>
        <v/>
      </c>
      <c r="AL41" s="123" t="str">
        <f t="shared" si="31"/>
        <v/>
      </c>
      <c r="AM41" s="123" t="str">
        <f t="shared" si="31"/>
        <v/>
      </c>
      <c r="AN41" s="123" t="str">
        <f>IF(B$18=0,"",IF($A41="","",0.5*B$18*$K41*(1*AC$4^2+(AC$5*$AU41^(-2*AC$4))*$D41*(AC$4+1)^2+(AC$6*$AU41^(-4*AC$4-2))*$D41^2*(AC$4+2)^2)/T41))</f>
        <v/>
      </c>
      <c r="AO41" s="123">
        <f>IF(C$18=0,"",IF($A41="","",0.5*C$18*$K41*(1*AD$4^2+(AD$5*$AU41^(-2*AD$4))*$D41*(AD$4+1)^2+(AD$6*$AU41^(-4*AD$4-2))*$D41^2*(AD$4+2)^2)/U41))</f>
        <v>0</v>
      </c>
      <c r="AP41" s="123" t="str">
        <f>IF(D$18=0,"",IF($A41="","",0.5*D$18*$K41*(1*AE$4^2+(AE$5*$AU41^(-2*AE$4))*$D41*(AE$4+1)^2+(AE$6*$AU41^(-4*AE$4-2))*$D41^2*(AE$4+2)^2)/V41))</f>
        <v/>
      </c>
      <c r="AQ41" s="131">
        <f>IF(A41="","",SUM(AG41:AP41)+0.5*(D41+ $AC$9/AU41^2/D41)+$L41*$S$16+$K41*$T$16)</f>
        <v>1.0862132584639915E-2</v>
      </c>
      <c r="AR41" s="123">
        <f>IF(A41="","",AQ41+$L41*S$14+$K41*$T$14)</f>
        <v>1.0862132584639915E-2</v>
      </c>
      <c r="AS41" s="1002"/>
      <c r="AT41" s="446">
        <v>1.0862132584639951E-2</v>
      </c>
      <c r="AU41" s="132">
        <f>IF(A41="","",10^(-$P$16*($AT41^0.5/(1+$AT41^0.5)-$P$17*$AT41)))</f>
        <v>0.89870439443503658</v>
      </c>
      <c r="AV41" s="17"/>
      <c r="AW41" s="125">
        <f>IF(C41="","",C41-B41)</f>
        <v>-4.3077703444089899E-2</v>
      </c>
      <c r="AX41" s="1324"/>
      <c r="AY41" s="26"/>
      <c r="AZ41" s="1001"/>
      <c r="BA41" s="1001"/>
    </row>
    <row r="42" spans="1:53">
      <c r="A42" s="6">
        <v>0.87795368308434263</v>
      </c>
      <c r="B42" s="512">
        <v>3.0242592277261426</v>
      </c>
      <c r="C42" s="125">
        <v>3.0255355834960938</v>
      </c>
      <c r="D42" s="124">
        <f t="shared" ref="D42:D72" si="32">IF(A42="","",10^-((((B42-P$12)/P$13)+7))/$AU42)</f>
        <v>1.0598621303015406E-3</v>
      </c>
      <c r="E42" s="124">
        <f>IF(A42="","",IF(A43="",(B42-B41)/(A42-A41),((B43-B42)/(A43-A42)+(B42-B41)/(A42-A41))/2))</f>
        <v>0.11590039089020304</v>
      </c>
      <c r="F42" s="125">
        <f t="shared" ref="F42:F105" si="33">IF(A42="","",IF(C42="","0,00001",(IF(ABS(C42-B42)&lt;0.00001,0.00001,C42-B42))))</f>
        <v>1.2763557699511097E-3</v>
      </c>
      <c r="G42" s="123">
        <f t="shared" ref="G42:G105" si="34">IF(A42="","",IF(AX42="X",0,IF(ABS(E42)&lt;0.00001,(0.00001^M$20)*(ABS(H42)^I$20)*ABS(F42)^K$20,((ABS(E42))^M$20)*((ABS(H42))^I$20)*ABS(F42)^K$20)))</f>
        <v>1.4206360420873596E-9</v>
      </c>
      <c r="H42" s="123">
        <f t="shared" ref="H42:H91" si="35">IF(A42="","",I42-J42)</f>
        <v>-3.7691325820238264E-5</v>
      </c>
      <c r="I42" s="124">
        <f t="shared" ref="I42:I91" si="36">IF(A42="","",L42*I$18+K42*E$19)</f>
        <v>0.10544051949522083</v>
      </c>
      <c r="J42" s="124">
        <f t="shared" ref="J42:J91" si="37">IF(A42="","",D42 -$AC$9/AU42^2/D42+L42*(W42*$B$11+X42*$C$11+Y42*$D$11+Z42*$E$11+AA42*$F$11+AB42*$G$11+AC42*$H$11)+K42*(AD42*$B$18+AE42*$C$18+AF42*$D$18))</f>
        <v>0.10547821082104107</v>
      </c>
      <c r="K42" s="125">
        <f t="shared" ref="K42:K91" si="38">IF(A42="","",A42/(A42+$G$16))</f>
        <v>4.2051711408655677E-2</v>
      </c>
      <c r="L42" s="125">
        <f t="shared" ref="L42:L91" si="39">IF(A42="","",$E$16/(A42+$G$16))</f>
        <v>0.95794828859134429</v>
      </c>
      <c r="M42" s="123">
        <f t="shared" ref="M42:M91" si="40">IF($A42="","",(1+(V$5*$AU42^(-2*V$4))*$D42+(V$6*$AU42^(-4*V$4-2))*$D42^2+(V$7*$AU42^(-6*V$4-6))*$D42^3+(V$8*$AU42^(-8*V$4-12))*$D42^4+(V$9*$AU42^(-10*V$4-20))*$D42^5+(V$10*$AU42^(-12*V$4-30))*$D42^6))</f>
        <v>111335.12401834768</v>
      </c>
      <c r="N42" s="123">
        <f t="shared" ref="N42:N91" si="41">IF($A42="","",(1+(W$5*$AU42^(-2*W$4))*$D42+(W$6*$AU42^(-4*W$4-2))*$D42^2+(W$7*$AU42^(-6*W$4-6))*$D42^3+(W$8*$AU42^(-8*W$4-12))*$D42^4+(W$9*$AU42^(-10*W$4-20))*$D42^5+(W$10*$AU42^(-12*W$4-30))*$D42^6))</f>
        <v>6261782.4769644924</v>
      </c>
      <c r="O42" s="123">
        <f t="shared" ref="O42:O91" si="42">IF($A42="","",(1+(X$5*$AU42^(-2*X$4))*$D42+(X$6*$AU42^(-4*X$4-2))*$D42^2+(X$7*$AU42^(-6*X$4-6))*$D42^3+(X$8*$AU42^(-8*X$4-12))*$D42^4+(X$9*$AU42^(-10*X$4-20))*$D42^5+(X$10*$AU42^(-12*X$4-30))*$D42^6))</f>
        <v>4814148499.753108</v>
      </c>
      <c r="P42" s="123">
        <f t="shared" ref="P42:P91" si="43">IF($A42="","",(1+(Y$5*$AU42^(-2*Y$4))*$D42+(Y$6*$AU42^(-4*Y$4-2))*$D42^2+(Y$7*$AU42^(-6*Y$4-6))*$D42^3+(Y$8*$AU42^(-8*Y$4-12))*$D42^4+(Y$9*$AU42^(-10*Y$4-20))*$D42^5+(Y$10*$AU42^(-12*Y$4-30))*$D42^6))</f>
        <v>49.220551132026927</v>
      </c>
      <c r="Q42" s="123">
        <f t="shared" ref="Q42:Q91" si="44">IF($A42="","",(1+(Z$5*$AU42^(-2*Z$4))*$D42+(Z$6*$AU42^(-4*Z$4-2))*$D42^2+(Z$7*$AU42^(-6*Z$4-6))*$D42^3+(Z$8*$AU42^(-8*Z$4-12))*$D42^4+(Z$9*$AU42^(-10*Z$4-20))*$D42^5+(Z$10*$AU42^(-12*Z$4-30))*$D42^6))</f>
        <v>1858872.5249763436</v>
      </c>
      <c r="R42" s="123">
        <f t="shared" ref="R42:R91" si="45">IF($A42="","",(1+(AA$5*$AU42^(-2*AA$4))*$D42+(AA$6*$AU42^(-4*AA$4-2))*$D42^2+(AA$7*$AU42^(-6*AA$4-6))*$D42^3+(AA$8*$AU42^(-8*AA$4-12))*$D42^4+(AA$9*$AU42^(-10*AA$4-20))*$D42^5+(AA$10*$AU42^(-12*AA$4-30))*$D42^6))</f>
        <v>27206703584.018333</v>
      </c>
      <c r="S42" s="123">
        <f t="shared" ref="S42:S91" si="46">IF($A42="","",(1+(AB$5*$AU42^(-2*AB$4))*$D42+(AB$6*$AU42^(-4*AB$4-2))*$D42^2+(AB$7*$AU42^(-6*AB$4-6))*$D42^3+(AB$8*$AU42^(-8*AB$4-12))*$D42^4+(AB$9*$AU42^(-10*AB$4-20))*$D42^5+(AB$10*$AU42^(-12*AB$4-30))*$D42^6))</f>
        <v>1.0000000000843785</v>
      </c>
      <c r="T42" s="123">
        <f t="shared" ref="T42:T91" si="47">IF($A42="","",(1+(AC$5*$AU42^(-2*AC$4))*$D42+(AC$6*$AU42^(-4*AC$4-2))*$D42^2))</f>
        <v>1.0000000000843785</v>
      </c>
      <c r="U42" s="123">
        <f t="shared" ref="U42:U91" si="48">IF($A42="","",(1+(AD$5*$AU42^(-2*AD$4))*$D42+(AD$6*$AU42^(-4*AD$4-2))*$D42^2))</f>
        <v>4690640724268.4307</v>
      </c>
      <c r="V42" s="123">
        <f t="shared" ref="V42:V91" si="49">IF($A42="","",(1+(AE$5*$AU42^(-2*AE$4))*$D42+(AE$6*$AU42^(-4*AE$4-2))*$D42^2))</f>
        <v>27206703584.018333</v>
      </c>
      <c r="W42" s="19">
        <f t="shared" ref="W42:W91" si="50">IF($A42="","",((V$5*$AU42^(-2*V$4))*$D42+2*(V$6*$AU42^(-4*V$4-2))*$D42^2+3*(V$7*$AU42^(-6*V$4-6))*$D42^3+4*(V$8*$AU42^(-8*V$4-12))*$D42^4+5*(V$9*$AU42^(-10*V$4-20))*$D42^5+6*(V$10*$AU42^(-12*V$4-30))*$D42^6)/M42)</f>
        <v>2.512849400316731</v>
      </c>
      <c r="X42" s="19">
        <f t="shared" ref="X42:X91" si="51">IF($A42="","",((W$5*$AU42^(-2*W$4))*$D42+2*(W$6*$AU42^(-4*W$4-2))*$D42^2+3*(W$7*$AU42^(-6*W$4-6))*$D42^3+4*(W$8*$AU42^(-8*W$4-12))*$D42^4+5*(W$9*$AU42^(-10*W$4-20))*$D42^5+6*(W$10*$AU42^(-12*W$4-30))*$D42^6)/N42)</f>
        <v>1.191771120567652</v>
      </c>
      <c r="Y42" s="19">
        <f t="shared" ref="Y42:Y91" si="52">IF($A42="","",((X$5*$AU42^(-2*X$4))*$D42+2*(X$6*$AU42^(-4*X$4-2))*$D42^2+3*(X$7*$AU42^(-6*X$4-6))*$D42^3+4*(X$8*$AU42^(-8*X$4-12))*$D42^4+5*(X$9*$AU42^(-10*X$4-20))*$D42^5+6*(X$10*$AU42^(-12*X$4-30))*$D42^6)/O42)</f>
        <v>1.9139609742024162</v>
      </c>
      <c r="Z42" s="19">
        <f t="shared" ref="Z42:Z91" si="53">IF($A42="","",((Y$5*$AU42^(-2*Y$4))*$D42+2*(Y$6*$AU42^(-4*Y$4-2))*$D42^2+3*(Y$7*$AU42^(-6*Y$4-6))*$D42^3+4*(Y$8*$AU42^(-8*Y$4-12))*$D42^4+5*(Y$9*$AU42^(-10*Y$4-20))*$D42^5+6*(Y$10*$AU42^(-12*Y$4-30))*$D42^6)/P42)</f>
        <v>0.97968328316118103</v>
      </c>
      <c r="AA42" s="19">
        <f t="shared" ref="AA42:AA91" si="54">IF($A42="","",((Z$5*$AU42^(-2*Z$4))*$D42+2*(Z$6*$AU42^(-4*Z$4-2))*$D42^2+3*(Z$7*$AU42^(-6*Z$4-6))*$D42^3+4*(Z$8*$AU42^(-8*Z$4-12))*$D42^4+5*(Z$9*$AU42^(-10*Z$4-20))*$D42^5+6*(Z$10*$AU42^(-12*Z$4-30))*$D42^6)/Q42)</f>
        <v>0.99999946203949619</v>
      </c>
      <c r="AB42" s="19">
        <f t="shared" ref="AB42:AB91" si="55">IF($A42="","",((AA$5*$AU42^(-2*AA$4))*$D42+2*(AA$6*$AU42^(-4*AA$4-2))*$D42^2+3*(AA$7*$AU42^(-6*AA$4-6))*$D42^3+4*(AA$8*$AU42^(-8*AA$4-12))*$D42^4+5*(AA$9*$AU42^(-10*AA$4-20))*$D42^5+6*(AA$10*$AU42^(-12*AA$4-30))*$D42^6)/R42)</f>
        <v>1.9994733293699882</v>
      </c>
      <c r="AC42" s="19">
        <f t="shared" ref="AC42:AC91" si="56">IF($A42="","",((AB$5*$AU42^(-2*AB$4))*$D42+2*(AB$6*$AU42^(-4*AB$4-2))*$D42^2+3*(AB$7*$AU42^(-6*AB$4-6))*$D42^3+4*(AB$8*$AU42^(-8*AB$4-12))*$D42^4+5*(AB$9*$AU42^(-10*AB$4-20))*$D42^5+6*(AB$10*$AU42^(-12*AB$4-30))*$D42^6)/S42)</f>
        <v>8.437875093218288E-11</v>
      </c>
      <c r="AD42" s="19">
        <f t="shared" ref="AD42:AD91" si="57">IF($A42="","",((AC$5*$AU42^(-2*AC$4))*$D42+2*(AC$6*$AU42^(-4*AC$4-2))*$D42^2)/T42)</f>
        <v>8.4378750574219048E-11</v>
      </c>
      <c r="AE42" s="19">
        <f t="shared" ref="AE42:AE91" si="58">IF($A42="","",((AD$5*$AU42^(-2*AD$4))*$D42+2*(AD$6*$AU42^(-4*AD$4-2))*$D42^2)/U42)</f>
        <v>0.99999999999978684</v>
      </c>
      <c r="AF42" s="19">
        <f t="shared" ref="AF42:AF91" si="59">IF($A42="","",((AE$5*$AU42^(-2*AE$4))*$D42+2*(AE$6*$AU42^(-4*AE$4-2))*$D42^2)/V42)</f>
        <v>1.9994733293699882</v>
      </c>
      <c r="AG42" s="123">
        <f t="shared" ref="AG42:AG91" si="60">IF(B$11=0,"",IF($A42="","",0.5*B$11*$L42*(1*V$4^2+(V$5*$AU42^(-2*V$4))*$D42*(V$4+1)^2+(V$6*$AU42^(-4*V$4-2))*$D42^2*(V$4+2)^2+(V$7*$AU42^(-6*V$4-6))*$D42^3*(V$4+3)^2+(V$8*$AU42^(-8*V$4-12))*$D42^4*(V$4+4)^2+(V$9*$AU42^(-10*V$4-20))*$D42^5*(V$4+5)^2+(V$10*$AU42^(-12*V$4-30))*$D42^6*(V$4+6)^2)/M42))</f>
        <v>6.1170896230883353E-3</v>
      </c>
      <c r="AH42" s="123">
        <f t="shared" ref="AH42:AH91" si="61">IF(C$11=0,"",IF($A42="","",0.5*C$11*$L42*(1*W$4^2+(W$5*$AU42^(-2*W$4))*$D42*(W$4+1)^2+(W$6*$AU42^(-4*W$4-2))*$D42^2*(W$4+2)^2+(W$7*$AU42^(-6*W$4-6))*$D42^3*(W$4+3)^2+(W$8*$AU42^(-8*W$4-12))*$D42^4*(W$4+4)^2+(W$9*$AU42^(-10*W$4-20))*$D42^5*(W$4+5)^2+(W$10*$AU42^(-12*W$4-30))*$D42^6*(W$4+6)^2)/N42))</f>
        <v>3.2234905051327606E-3</v>
      </c>
      <c r="AI42" s="123" t="str">
        <f t="shared" ref="AI42:AI91" si="62">IF(D$11=0,"",IF($A42="","",0.5*D$11*$L42*(1*X$4^2+(X$5*$AU42^(-2*X$4))*$D42*(X$4+1)^2+(X$6*$AU42^(-4*X$4-2))*$D42^2*(X$4+2)^2+(X$7*$AU42^(-6*X$4-6))*$D42^3*(X$4+3)^2+(X$8*$AU42^(-8*X$4-12))*$D42^4*(X$4+4)^2+(X$9*$AU42^(-10*X$4-20))*$D42^5*(X$4+5)^2+(X$10*$AU42^(-12*X$4-30))*$D42^6*(X$4+6)^2)/O42))</f>
        <v/>
      </c>
      <c r="AJ42" s="123" t="str">
        <f t="shared" ref="AJ42:AJ91" si="63">IF(E$11=0,"",IF($A42="","",0.5*E$11*$L42*(1*Y$4^2+(Y$5*$AU42^(-2*Y$4))*$D42*(Y$4+1)^2+(Y$6*$AU42^(-4*Y$4-2))*$D42^2*(Y$4+2)^2+(Y$7*$AU42^(-6*Y$4-6))*$D42^3*(Y$4+3)^2+(Y$8*$AU42^(-8*Y$4-12))*$D42^4*(Y$4+4)^2+(Y$9*$AU42^(-10*Y$4-20))*$D42^5*(Y$4+5)^2+(Y$10*$AU42^(-12*Y$4-30))*$D42^6*(Y$4+6)^2)/P42))</f>
        <v/>
      </c>
      <c r="AK42" s="123" t="str">
        <f t="shared" ref="AK42:AK91" si="64">IF(F$11=0,"",IF($A42="","",0.5*F$11*$L42*(1*Z$4^2+(Z$5*$AU42^(-2*Z$4))*$D42*(Z$4+1)^2+(Z$6*$AU42^(-4*Z$4-2))*$D42^2*(Z$4+2)^2+(Z$7*$AU42^(-6*Z$4-6))*$D42^3*(Z$4+3)^2+(Z$8*$AU42^(-8*Z$4-12))*$D42^4*(Z$4+4)^2+(Z$9*$AU42^(-10*Z$4-20))*$D42^5*(Z$4+5)^2+(Z$10*$AU42^(-12*Z$4-30))*$D42^6*(Z$4+6)^2)/Q42))</f>
        <v/>
      </c>
      <c r="AL42" s="123" t="str">
        <f t="shared" ref="AL42:AL91" si="65">IF(G$11=0,"",IF($A42="","",0.5*G$11*$L42*(1*AA$4^2+(AA$5*$AU42^(-2*AA$4))*$D42*(AA$4+1)^2+(AA$6*$AU42^(-4*AA$4-2))*$D42^2*(AA$4+2)^2+(AA$7*$AU42^(-6*AA$4-6))*$D42^3*(AA$4+3)^2+(AA$8*$AU42^(-8*AA$4-12))*$D42^4*(AA$4+4)^2+(AA$9*$AU42^(-10*AA$4-20))*$D42^5*(AA$4+5)^2+(AA$10*$AU42^(-12*AA$4-30))*$D42^6*(AA$4+6)^2)/R42))</f>
        <v/>
      </c>
      <c r="AM42" s="123" t="str">
        <f t="shared" ref="AM42:AM91" si="66">IF(H$11=0,"",IF($A42="","",0.5*H$11*$L42*(1*AB$4^2+(AB$5*$AU42^(-2*AB$4))*$D42*(AB$4+1)^2+(AB$6*$AU42^(-4*AB$4-2))*$D42^2*(AB$4+2)^2+(AB$7*$AU42^(-6*AB$4-6))*$D42^3*(AB$4+3)^2+(AB$8*$AU42^(-8*AB$4-12))*$D42^4*(AB$4+4)^2+(AB$9*$AU42^(-10*AB$4-20))*$D42^5*(AB$4+5)^2+(AB$10*$AU42^(-12*AB$4-30))*$D42^6*(AB$4+6)^2)/S42))</f>
        <v/>
      </c>
      <c r="AN42" s="123" t="str">
        <f>IF(B$18=0,"",IF($A42="","",0.5*B$18*$K42*(1*AC$4^2+(AC$5*$AU42^(-2*AC$4))*$D42*(AC$4+1)^2+(AC$6*$AU42^(-4*AC$4-2))*$D42^2*(AC$4+2)^2)/T42))</f>
        <v/>
      </c>
      <c r="AO42" s="123">
        <f t="shared" ref="AO42:AO91" si="67">IF(C$18=0,"",IF($A42="","",0.5*C$18*$K42*(1*AD$4^2+(AD$5*$AU42^(-2*AD$4))*$D42*(AD$4+1)^2+(AD$6*$AU42^(-4*AD$4-2))*$D42^2*(AD$4+2)^2)/U42))</f>
        <v>4.4825125052840429E-16</v>
      </c>
      <c r="AP42" s="123" t="str">
        <f t="shared" ref="AP42:AP91" si="68">IF(D$18=0,"",IF($A42="","",0.5*D$18*$K42*(1*AE$4^2+(AE$5*$AU42^(-2*AE$4))*$D42*(AE$4+1)^2+(AE$6*$AU42^(-4*AE$4-2))*$D42^2*(AE$4+2)^2)/V42))</f>
        <v/>
      </c>
      <c r="AQ42" s="131">
        <f t="shared" ref="AQ42:AQ105" si="69">IF(A42="","",SUM(AG42:AP42)+0.5*(D42+ $AC$9/AU42^2/D42)+$L42*$S$16+$K42*$T$16)</f>
        <v>1.263793277757636E-2</v>
      </c>
      <c r="AR42" s="123">
        <f t="shared" ref="AR42:AR105" si="70">IF(A42="","",AQ42+$L42*S$14+$K42*$T$14)</f>
        <v>1.263793277757636E-2</v>
      </c>
      <c r="AS42" s="1002"/>
      <c r="AT42" s="446">
        <v>1.2637932777576378E-2</v>
      </c>
      <c r="AU42" s="132">
        <f t="shared" ref="AU42:AU105" si="71">IF(A42="","",10^(-$P$16*($AT42^0.5/(1+$AT42^0.5)-$P$17*$AT42)))</f>
        <v>0.89225994558311383</v>
      </c>
      <c r="AV42" s="17"/>
      <c r="AW42" s="125">
        <f t="shared" ref="AW42:AW105" si="72">IF(C42="","",C42-B42)</f>
        <v>1.2763557699511097E-3</v>
      </c>
      <c r="AX42" s="16"/>
      <c r="AY42" s="26"/>
      <c r="AZ42" s="1001"/>
      <c r="BA42" s="1001"/>
    </row>
    <row r="43" spans="1:53">
      <c r="A43" s="6">
        <v>1.6979725172859617</v>
      </c>
      <c r="B43" s="512">
        <v>3.1255907235298888</v>
      </c>
      <c r="C43" s="125">
        <v>3.1648178100585937</v>
      </c>
      <c r="D43" s="124">
        <f t="shared" si="32"/>
        <v>8.4456191498520855E-4</v>
      </c>
      <c r="E43" s="124">
        <f t="shared" ref="E43:E106" si="73">IF(A43="","",IF(A44="",(B43-B42)/(A43-A42),((B44-B43)/(A44-A43)+(B43-B42)/(A43-A42))/2))</f>
        <v>0.17315044192717757</v>
      </c>
      <c r="F43" s="125">
        <f t="shared" si="33"/>
        <v>3.9227086528704991E-2</v>
      </c>
      <c r="G43" s="123">
        <f t="shared" si="34"/>
        <v>1.0800128464400487E-6</v>
      </c>
      <c r="H43" s="123">
        <f t="shared" si="35"/>
        <v>-1.0392366652692969E-3</v>
      </c>
      <c r="I43" s="124">
        <f t="shared" si="36"/>
        <v>0.10145566737112482</v>
      </c>
      <c r="J43" s="124">
        <f t="shared" si="37"/>
        <v>0.10249490403639412</v>
      </c>
      <c r="K43" s="125">
        <f t="shared" si="38"/>
        <v>7.8254892982892788E-2</v>
      </c>
      <c r="L43" s="125">
        <f t="shared" si="39"/>
        <v>0.92174510701710721</v>
      </c>
      <c r="M43" s="123">
        <f t="shared" si="40"/>
        <v>59216.630933278029</v>
      </c>
      <c r="N43" s="123">
        <f t="shared" si="41"/>
        <v>4735828.684759181</v>
      </c>
      <c r="O43" s="123">
        <f t="shared" si="42"/>
        <v>3013015115.1200366</v>
      </c>
      <c r="P43" s="123">
        <f t="shared" si="43"/>
        <v>38.947839901190292</v>
      </c>
      <c r="Q43" s="123">
        <f t="shared" si="44"/>
        <v>1481261.6752906961</v>
      </c>
      <c r="R43" s="123">
        <f t="shared" si="45"/>
        <v>16642569923.798519</v>
      </c>
      <c r="S43" s="123">
        <f t="shared" si="46"/>
        <v>1.0000000000664029</v>
      </c>
      <c r="T43" s="123">
        <f t="shared" si="47"/>
        <v>1.0000000000664029</v>
      </c>
      <c r="U43" s="123">
        <f t="shared" si="48"/>
        <v>3691365591222.5537</v>
      </c>
      <c r="V43" s="123">
        <f t="shared" si="49"/>
        <v>16642569923.798519</v>
      </c>
      <c r="W43" s="19">
        <f t="shared" si="50"/>
        <v>2.4459303010391529</v>
      </c>
      <c r="X43" s="19">
        <f t="shared" si="51"/>
        <v>1.159009104780778</v>
      </c>
      <c r="Y43" s="19">
        <f t="shared" si="52"/>
        <v>1.8931581699235756</v>
      </c>
      <c r="Z43" s="19">
        <f t="shared" si="53"/>
        <v>0.97432463513927925</v>
      </c>
      <c r="AA43" s="19">
        <f t="shared" si="54"/>
        <v>0.9999993248998359</v>
      </c>
      <c r="AB43" s="19">
        <f t="shared" si="55"/>
        <v>1.9993308518005144</v>
      </c>
      <c r="AC43" s="19">
        <f t="shared" si="56"/>
        <v>6.6403014330925087E-11</v>
      </c>
      <c r="AD43" s="19">
        <f t="shared" si="57"/>
        <v>6.6403014149871213E-11</v>
      </c>
      <c r="AE43" s="19">
        <f t="shared" si="58"/>
        <v>0.99999999999972911</v>
      </c>
      <c r="AF43" s="19">
        <f t="shared" si="59"/>
        <v>1.9993308518005144</v>
      </c>
      <c r="AG43" s="123">
        <f t="shared" si="60"/>
        <v>6.7790863722028477E-3</v>
      </c>
      <c r="AH43" s="123">
        <f t="shared" si="61"/>
        <v>2.5717833895783611E-3</v>
      </c>
      <c r="AI43" s="123" t="str">
        <f t="shared" si="62"/>
        <v/>
      </c>
      <c r="AJ43" s="123" t="str">
        <f t="shared" si="63"/>
        <v/>
      </c>
      <c r="AK43" s="123" t="str">
        <f t="shared" si="64"/>
        <v/>
      </c>
      <c r="AL43" s="123" t="str">
        <f t="shared" si="65"/>
        <v/>
      </c>
      <c r="AM43" s="123" t="str">
        <f t="shared" si="66"/>
        <v/>
      </c>
      <c r="AN43" s="123" t="str">
        <f t="shared" ref="AN43:AN91" si="74">IF(B$18=0,"",IF($A43="","",0.5*B$18*$K43*(1*AC$4^2+(AC$5*$AU43^(-2*AC$4))*$D43*(AC$4+1)^2+(AC$6*$AU43^(-4*AC$4-2))*$D43^2*(AC$4+2)^2)/T43))</f>
        <v/>
      </c>
      <c r="AO43" s="123">
        <f t="shared" si="67"/>
        <v>1.0599721302188241E-15</v>
      </c>
      <c r="AP43" s="123" t="str">
        <f t="shared" si="68"/>
        <v/>
      </c>
      <c r="AQ43" s="131">
        <f t="shared" si="69"/>
        <v>1.4325605625378619E-2</v>
      </c>
      <c r="AR43" s="123">
        <f t="shared" si="70"/>
        <v>1.4325605625378619E-2</v>
      </c>
      <c r="AS43" s="1002"/>
      <c r="AT43" s="446">
        <v>1.4325605625378626E-2</v>
      </c>
      <c r="AU43" s="132">
        <f t="shared" si="71"/>
        <v>0.88670219427116725</v>
      </c>
      <c r="AV43" s="17"/>
      <c r="AW43" s="125">
        <f t="shared" si="72"/>
        <v>3.9227086528704991E-2</v>
      </c>
      <c r="AX43" s="16"/>
      <c r="AY43" s="26"/>
      <c r="AZ43" s="1001"/>
      <c r="BA43" s="1001"/>
    </row>
    <row r="44" spans="1:53">
      <c r="A44" s="6">
        <v>2.4511264302418567</v>
      </c>
      <c r="B44" s="512">
        <v>3.2933397359810788</v>
      </c>
      <c r="C44" s="125">
        <v>3.3038558959960938</v>
      </c>
      <c r="D44" s="124">
        <f t="shared" si="32"/>
        <v>5.7771648719251857E-4</v>
      </c>
      <c r="E44" s="124">
        <f t="shared" si="73"/>
        <v>0.22713069347543746</v>
      </c>
      <c r="F44" s="125">
        <f t="shared" si="33"/>
        <v>1.0516160015014986E-2</v>
      </c>
      <c r="G44" s="123">
        <f t="shared" si="34"/>
        <v>5.867175598223386E-8</v>
      </c>
      <c r="H44" s="123">
        <f t="shared" si="35"/>
        <v>-2.4222253401001703E-4</v>
      </c>
      <c r="I44" s="124">
        <f t="shared" si="36"/>
        <v>9.8052197477997885E-2</v>
      </c>
      <c r="J44" s="124">
        <f t="shared" si="37"/>
        <v>9.8294420012007902E-2</v>
      </c>
      <c r="K44" s="125">
        <f t="shared" si="38"/>
        <v>0.10917610026640662</v>
      </c>
      <c r="L44" s="125">
        <f t="shared" si="39"/>
        <v>0.89082389973359333</v>
      </c>
      <c r="M44" s="123">
        <f t="shared" si="40"/>
        <v>22277.843162487537</v>
      </c>
      <c r="N44" s="123">
        <f t="shared" si="41"/>
        <v>3036886.4059992009</v>
      </c>
      <c r="O44" s="123">
        <f t="shared" si="42"/>
        <v>1425418306.1322117</v>
      </c>
      <c r="P44" s="123">
        <f t="shared" si="43"/>
        <v>26.621571646924508</v>
      </c>
      <c r="Q44" s="123">
        <f t="shared" si="44"/>
        <v>1013246.6824794736</v>
      </c>
      <c r="R44" s="123">
        <f t="shared" si="45"/>
        <v>7490883225.6561403</v>
      </c>
      <c r="S44" s="123">
        <f t="shared" si="46"/>
        <v>1.0000000000448339</v>
      </c>
      <c r="T44" s="123">
        <f t="shared" si="47"/>
        <v>1.0000000000448339</v>
      </c>
      <c r="U44" s="123">
        <f t="shared" si="48"/>
        <v>2492331268835.8379</v>
      </c>
      <c r="V44" s="123">
        <f t="shared" si="49"/>
        <v>7490883225.6561403</v>
      </c>
      <c r="W44" s="19">
        <f t="shared" si="50"/>
        <v>2.3341769975778224</v>
      </c>
      <c r="X44" s="19">
        <f t="shared" si="51"/>
        <v>1.1145224767353441</v>
      </c>
      <c r="Y44" s="19">
        <f t="shared" si="52"/>
        <v>1.8494937820433246</v>
      </c>
      <c r="Z44" s="19">
        <f t="shared" si="53"/>
        <v>0.96243647770827512</v>
      </c>
      <c r="AA44" s="19">
        <f t="shared" si="54"/>
        <v>0.99999901307350192</v>
      </c>
      <c r="AB44" s="19">
        <f t="shared" si="55"/>
        <v>1.9990092505028525</v>
      </c>
      <c r="AC44" s="19">
        <f t="shared" si="56"/>
        <v>4.4833874162115867E-11</v>
      </c>
      <c r="AD44" s="19">
        <f t="shared" si="57"/>
        <v>4.483387410419681E-11</v>
      </c>
      <c r="AE44" s="19">
        <f t="shared" si="58"/>
        <v>0.99999999999959877</v>
      </c>
      <c r="AF44" s="19">
        <f t="shared" si="59"/>
        <v>1.9990092505028525</v>
      </c>
      <c r="AG44" s="123">
        <f t="shared" si="60"/>
        <v>8.0847355619729153E-3</v>
      </c>
      <c r="AH44" s="123">
        <f t="shared" si="61"/>
        <v>1.7901337869180084E-3</v>
      </c>
      <c r="AI44" s="123" t="str">
        <f t="shared" si="62"/>
        <v/>
      </c>
      <c r="AJ44" s="123" t="str">
        <f t="shared" si="63"/>
        <v/>
      </c>
      <c r="AK44" s="123" t="str">
        <f t="shared" si="64"/>
        <v/>
      </c>
      <c r="AL44" s="123" t="str">
        <f t="shared" si="65"/>
        <v/>
      </c>
      <c r="AM44" s="123" t="str">
        <f t="shared" si="66"/>
        <v/>
      </c>
      <c r="AN44" s="123" t="str">
        <f t="shared" si="74"/>
        <v/>
      </c>
      <c r="AO44" s="123">
        <f t="shared" si="67"/>
        <v>2.1902405517185226E-15</v>
      </c>
      <c r="AP44" s="123" t="str">
        <f t="shared" si="68"/>
        <v/>
      </c>
      <c r="AQ44" s="131">
        <f t="shared" si="69"/>
        <v>1.6240782907630875E-2</v>
      </c>
      <c r="AR44" s="123">
        <f t="shared" si="70"/>
        <v>1.6240782907630875E-2</v>
      </c>
      <c r="AS44" s="1002"/>
      <c r="AT44" s="446">
        <v>1.6240782907630882E-2</v>
      </c>
      <c r="AU44" s="132">
        <f t="shared" si="71"/>
        <v>0.88093832073079925</v>
      </c>
      <c r="AV44" s="17"/>
      <c r="AW44" s="125">
        <f t="shared" si="72"/>
        <v>1.0516160015014986E-2</v>
      </c>
      <c r="AX44" s="16"/>
      <c r="AY44" s="26"/>
      <c r="AZ44" s="1001"/>
      <c r="BA44" s="1001"/>
    </row>
    <row r="45" spans="1:53">
      <c r="A45" s="6">
        <v>3.1349450364359654</v>
      </c>
      <c r="B45" s="512">
        <v>3.4516660766305347</v>
      </c>
      <c r="C45" s="125">
        <v>3.4426345825195313</v>
      </c>
      <c r="D45" s="124">
        <f t="shared" si="32"/>
        <v>4.0372692437400261E-4</v>
      </c>
      <c r="E45" s="124">
        <f t="shared" si="73"/>
        <v>0.22572427870847189</v>
      </c>
      <c r="F45" s="125">
        <f t="shared" si="33"/>
        <v>-9.0314941110034574E-3</v>
      </c>
      <c r="G45" s="123">
        <f t="shared" si="34"/>
        <v>3.2725154558722638E-8</v>
      </c>
      <c r="H45" s="123">
        <f t="shared" si="35"/>
        <v>1.8090095234332693E-4</v>
      </c>
      <c r="I45" s="124">
        <f t="shared" si="36"/>
        <v>9.5153987998438938E-2</v>
      </c>
      <c r="J45" s="124">
        <f t="shared" si="37"/>
        <v>9.4973087046095611E-2</v>
      </c>
      <c r="K45" s="125">
        <f t="shared" si="38"/>
        <v>0.13550691525303563</v>
      </c>
      <c r="L45" s="125">
        <f t="shared" si="39"/>
        <v>0.8644930847469644</v>
      </c>
      <c r="M45" s="123">
        <f t="shared" si="40"/>
        <v>9214.3713934291955</v>
      </c>
      <c r="N45" s="123">
        <f t="shared" si="41"/>
        <v>2023762.2917954666</v>
      </c>
      <c r="O45" s="123">
        <f t="shared" si="42"/>
        <v>715950631.90931404</v>
      </c>
      <c r="P45" s="123">
        <f t="shared" si="43"/>
        <v>18.683984820718994</v>
      </c>
      <c r="Q45" s="123">
        <f t="shared" si="44"/>
        <v>708089.78072810639</v>
      </c>
      <c r="R45" s="123">
        <f t="shared" si="45"/>
        <v>3525950957.8353581</v>
      </c>
      <c r="S45" s="123">
        <f t="shared" si="46"/>
        <v>1.0000000000309444</v>
      </c>
      <c r="T45" s="123">
        <f t="shared" si="47"/>
        <v>1.0000000000309444</v>
      </c>
      <c r="U45" s="123">
        <f t="shared" si="48"/>
        <v>1720204713967.8364</v>
      </c>
      <c r="V45" s="123">
        <f t="shared" si="49"/>
        <v>3525950957.8353581</v>
      </c>
      <c r="W45" s="19">
        <f t="shared" si="50"/>
        <v>2.2297758692987855</v>
      </c>
      <c r="X45" s="19">
        <f t="shared" si="51"/>
        <v>1.0828906906590348</v>
      </c>
      <c r="Y45" s="19">
        <f t="shared" si="52"/>
        <v>1.7957371050068924</v>
      </c>
      <c r="Z45" s="19">
        <f t="shared" si="53"/>
        <v>0.94647822669545933</v>
      </c>
      <c r="AA45" s="19">
        <f t="shared" si="54"/>
        <v>0.9999985877497074</v>
      </c>
      <c r="AB45" s="19">
        <f t="shared" si="55"/>
        <v>1.9985651831842748</v>
      </c>
      <c r="AC45" s="19">
        <f t="shared" si="56"/>
        <v>3.0944287285089735E-11</v>
      </c>
      <c r="AD45" s="19">
        <f t="shared" si="57"/>
        <v>3.0944287265329935E-11</v>
      </c>
      <c r="AE45" s="19">
        <f t="shared" si="58"/>
        <v>0.99999999999941869</v>
      </c>
      <c r="AF45" s="19">
        <f t="shared" si="59"/>
        <v>1.9985651831842748</v>
      </c>
      <c r="AG45" s="123">
        <f t="shared" si="60"/>
        <v>9.3865234167827098E-3</v>
      </c>
      <c r="AH45" s="123">
        <f t="shared" si="61"/>
        <v>1.2573982739928265E-3</v>
      </c>
      <c r="AI45" s="123" t="str">
        <f t="shared" si="62"/>
        <v/>
      </c>
      <c r="AJ45" s="123" t="str">
        <f t="shared" si="63"/>
        <v/>
      </c>
      <c r="AK45" s="123" t="str">
        <f t="shared" si="64"/>
        <v/>
      </c>
      <c r="AL45" s="123" t="str">
        <f t="shared" si="65"/>
        <v/>
      </c>
      <c r="AM45" s="123" t="str">
        <f t="shared" si="66"/>
        <v/>
      </c>
      <c r="AN45" s="123" t="str">
        <f t="shared" si="74"/>
        <v/>
      </c>
      <c r="AO45" s="123">
        <f t="shared" si="67"/>
        <v>3.9386857317834694E-15</v>
      </c>
      <c r="AP45" s="123" t="str">
        <f t="shared" si="68"/>
        <v/>
      </c>
      <c r="AQ45" s="131">
        <f t="shared" si="69"/>
        <v>1.8221107091097463E-2</v>
      </c>
      <c r="AR45" s="123">
        <f t="shared" si="70"/>
        <v>1.8221107091097463E-2</v>
      </c>
      <c r="AS45" s="1002"/>
      <c r="AT45" s="446">
        <v>1.8221107091097477E-2</v>
      </c>
      <c r="AU45" s="132">
        <f t="shared" si="71"/>
        <v>0.87547996137163497</v>
      </c>
      <c r="AV45" s="17"/>
      <c r="AW45" s="125">
        <f t="shared" si="72"/>
        <v>-9.0314941110034574E-3</v>
      </c>
      <c r="AX45" s="16"/>
      <c r="AY45" s="26"/>
      <c r="AZ45" s="1001"/>
      <c r="BA45" s="1001"/>
    </row>
    <row r="46" spans="1:53">
      <c r="A46" s="6">
        <v>3.7547393163549714</v>
      </c>
      <c r="B46" s="512">
        <v>3.5879686920942295</v>
      </c>
      <c r="C46" s="125">
        <v>3.5813674926757812</v>
      </c>
      <c r="D46" s="124">
        <f t="shared" si="32"/>
        <v>2.9661056104558997E-4</v>
      </c>
      <c r="E46" s="124">
        <f t="shared" si="73"/>
        <v>0.19737749587873965</v>
      </c>
      <c r="F46" s="125">
        <f t="shared" si="33"/>
        <v>-6.6011994184482781E-3</v>
      </c>
      <c r="G46" s="123">
        <f t="shared" si="34"/>
        <v>1.3627485260408837E-8</v>
      </c>
      <c r="H46" s="123">
        <f t="shared" si="35"/>
        <v>1.1673682049982703E-4</v>
      </c>
      <c r="I46" s="124">
        <f t="shared" si="36"/>
        <v>9.2671287738608693E-2</v>
      </c>
      <c r="J46" s="124">
        <f t="shared" si="37"/>
        <v>9.2554550918108866E-2</v>
      </c>
      <c r="K46" s="125">
        <f t="shared" si="38"/>
        <v>0.15806274555788788</v>
      </c>
      <c r="L46" s="125">
        <f t="shared" si="39"/>
        <v>0.84193725444211209</v>
      </c>
      <c r="M46" s="123">
        <f t="shared" si="40"/>
        <v>4437.8481383154603</v>
      </c>
      <c r="N46" s="123">
        <f t="shared" si="41"/>
        <v>1438128.1845874875</v>
      </c>
      <c r="O46" s="123">
        <f t="shared" si="42"/>
        <v>402559760.37733662</v>
      </c>
      <c r="P46" s="123">
        <f t="shared" si="43"/>
        <v>13.849197527177932</v>
      </c>
      <c r="Q46" s="123">
        <f t="shared" si="44"/>
        <v>520220.47965820559</v>
      </c>
      <c r="R46" s="123">
        <f t="shared" si="45"/>
        <v>1842041415.2371655</v>
      </c>
      <c r="S46" s="123">
        <f t="shared" si="46"/>
        <v>1.0000000000224842</v>
      </c>
      <c r="T46" s="123">
        <f t="shared" si="47"/>
        <v>1.0000000000224842</v>
      </c>
      <c r="U46" s="123">
        <f t="shared" si="48"/>
        <v>1249902122233.4158</v>
      </c>
      <c r="V46" s="123">
        <f t="shared" si="49"/>
        <v>1842041415.2371655</v>
      </c>
      <c r="W46" s="19">
        <f t="shared" si="50"/>
        <v>2.1421342306263673</v>
      </c>
      <c r="X46" s="19">
        <f t="shared" si="51"/>
        <v>1.0622673191836469</v>
      </c>
      <c r="Y46" s="19">
        <f t="shared" si="52"/>
        <v>1.7389431773238044</v>
      </c>
      <c r="Z46" s="19">
        <f t="shared" si="53"/>
        <v>0.92779365027918903</v>
      </c>
      <c r="AA46" s="19">
        <f t="shared" si="54"/>
        <v>0.99999807773811467</v>
      </c>
      <c r="AB46" s="19">
        <f t="shared" si="55"/>
        <v>1.9980263676771988</v>
      </c>
      <c r="AC46" s="19">
        <f t="shared" si="56"/>
        <v>2.2484139089803126E-11</v>
      </c>
      <c r="AD46" s="19">
        <f t="shared" si="57"/>
        <v>2.2484139081969186E-11</v>
      </c>
      <c r="AE46" s="19">
        <f t="shared" si="58"/>
        <v>0.99999999999919997</v>
      </c>
      <c r="AF46" s="19">
        <f t="shared" si="59"/>
        <v>1.9980263676771988</v>
      </c>
      <c r="AG46" s="123">
        <f t="shared" si="60"/>
        <v>1.0562204294594504E-2</v>
      </c>
      <c r="AH46" s="123">
        <f t="shared" si="61"/>
        <v>9.1991985991656108E-4</v>
      </c>
      <c r="AI46" s="123" t="str">
        <f t="shared" si="62"/>
        <v/>
      </c>
      <c r="AJ46" s="123" t="str">
        <f t="shared" si="63"/>
        <v/>
      </c>
      <c r="AK46" s="123" t="str">
        <f t="shared" si="64"/>
        <v/>
      </c>
      <c r="AL46" s="123" t="str">
        <f t="shared" si="65"/>
        <v/>
      </c>
      <c r="AM46" s="123" t="str">
        <f t="shared" si="66"/>
        <v/>
      </c>
      <c r="AN46" s="123" t="str">
        <f t="shared" si="74"/>
        <v/>
      </c>
      <c r="AO46" s="123">
        <f t="shared" si="67"/>
        <v>6.3230049275958465E-15</v>
      </c>
      <c r="AP46" s="123" t="str">
        <f t="shared" si="68"/>
        <v/>
      </c>
      <c r="AQ46" s="131">
        <f t="shared" si="69"/>
        <v>2.0117888680769851E-2</v>
      </c>
      <c r="AR46" s="123">
        <f t="shared" si="70"/>
        <v>2.0117888680769851E-2</v>
      </c>
      <c r="AS46" s="1002"/>
      <c r="AT46" s="446">
        <v>2.0117888680769871E-2</v>
      </c>
      <c r="AU46" s="132">
        <f t="shared" si="71"/>
        <v>0.87065219158023777</v>
      </c>
      <c r="AV46" s="17"/>
      <c r="AW46" s="125">
        <f t="shared" si="72"/>
        <v>-6.6011994184482781E-3</v>
      </c>
      <c r="AX46" s="16"/>
      <c r="AY46" s="26"/>
      <c r="AZ46" s="1001"/>
      <c r="BA46" s="1001"/>
    </row>
    <row r="47" spans="1:53">
      <c r="A47" s="6">
        <v>4.3231222967733629</v>
      </c>
      <c r="B47" s="512">
        <v>3.6873442574627857</v>
      </c>
      <c r="C47" s="125">
        <v>3.7205734252929687</v>
      </c>
      <c r="D47" s="124">
        <f t="shared" si="32"/>
        <v>2.3699001688608801E-4</v>
      </c>
      <c r="E47" s="124">
        <f t="shared" si="73"/>
        <v>0.24702101495004952</v>
      </c>
      <c r="F47" s="125">
        <f t="shared" si="33"/>
        <v>3.3229167830183037E-2</v>
      </c>
      <c r="G47" s="123">
        <f t="shared" si="34"/>
        <v>2.858077394889765E-7</v>
      </c>
      <c r="H47" s="123">
        <f t="shared" si="35"/>
        <v>-5.3460989467926656E-4</v>
      </c>
      <c r="I47" s="124">
        <f t="shared" si="36"/>
        <v>9.0505744101512881E-2</v>
      </c>
      <c r="J47" s="124">
        <f t="shared" si="37"/>
        <v>9.1040353996192147E-2</v>
      </c>
      <c r="K47" s="125">
        <f t="shared" si="38"/>
        <v>0.17773714427061266</v>
      </c>
      <c r="L47" s="125">
        <f t="shared" si="39"/>
        <v>0.82226285572938729</v>
      </c>
      <c r="M47" s="123">
        <f t="shared" si="40"/>
        <v>2643.5427458699478</v>
      </c>
      <c r="N47" s="123">
        <f t="shared" si="41"/>
        <v>1124690.5910565162</v>
      </c>
      <c r="O47" s="123">
        <f t="shared" si="42"/>
        <v>267428915.15585458</v>
      </c>
      <c r="P47" s="123">
        <f t="shared" si="43"/>
        <v>11.176101571159389</v>
      </c>
      <c r="Q47" s="123">
        <f t="shared" si="44"/>
        <v>415653.16974765941</v>
      </c>
      <c r="R47" s="123">
        <f t="shared" si="45"/>
        <v>1145769691.0081758</v>
      </c>
      <c r="S47" s="123">
        <f t="shared" si="46"/>
        <v>1.0000000000178066</v>
      </c>
      <c r="T47" s="123">
        <f t="shared" si="47"/>
        <v>1.0000000000178066</v>
      </c>
      <c r="U47" s="123">
        <f t="shared" si="48"/>
        <v>989877455222.76917</v>
      </c>
      <c r="V47" s="123">
        <f t="shared" si="49"/>
        <v>1145769691.0081758</v>
      </c>
      <c r="W47" s="19">
        <f t="shared" si="50"/>
        <v>2.079225686305918</v>
      </c>
      <c r="X47" s="19">
        <f t="shared" si="51"/>
        <v>1.0503814611648428</v>
      </c>
      <c r="Y47" s="19">
        <f t="shared" si="52"/>
        <v>1.6915218111584465</v>
      </c>
      <c r="Z47" s="19">
        <f t="shared" si="53"/>
        <v>0.91052336151090818</v>
      </c>
      <c r="AA47" s="19">
        <f t="shared" si="54"/>
        <v>0.99999759414802347</v>
      </c>
      <c r="AB47" s="19">
        <f t="shared" si="55"/>
        <v>1.9975092175955314</v>
      </c>
      <c r="AC47" s="19">
        <f t="shared" si="56"/>
        <v>1.780662608106092E-11</v>
      </c>
      <c r="AD47" s="19">
        <f t="shared" si="57"/>
        <v>1.7806626077065573E-11</v>
      </c>
      <c r="AE47" s="19">
        <f t="shared" si="58"/>
        <v>0.99999999999898981</v>
      </c>
      <c r="AF47" s="19">
        <f t="shared" si="59"/>
        <v>1.9975092175955314</v>
      </c>
      <c r="AG47" s="123">
        <f t="shared" si="60"/>
        <v>1.1426934802027239E-2</v>
      </c>
      <c r="AH47" s="123">
        <f t="shared" si="61"/>
        <v>7.269376451173997E-4</v>
      </c>
      <c r="AI47" s="123" t="str">
        <f t="shared" si="62"/>
        <v/>
      </c>
      <c r="AJ47" s="123" t="str">
        <f t="shared" si="63"/>
        <v/>
      </c>
      <c r="AK47" s="123" t="str">
        <f t="shared" si="64"/>
        <v/>
      </c>
      <c r="AL47" s="123" t="str">
        <f t="shared" si="65"/>
        <v/>
      </c>
      <c r="AM47" s="123" t="str">
        <f t="shared" si="66"/>
        <v/>
      </c>
      <c r="AN47" s="123" t="str">
        <f t="shared" si="74"/>
        <v/>
      </c>
      <c r="AO47" s="123">
        <f t="shared" si="67"/>
        <v>8.9777347353876967E-15</v>
      </c>
      <c r="AP47" s="123" t="str">
        <f t="shared" si="68"/>
        <v/>
      </c>
      <c r="AQ47" s="131">
        <f t="shared" si="69"/>
        <v>2.1729892202329563E-2</v>
      </c>
      <c r="AR47" s="123">
        <f t="shared" si="70"/>
        <v>2.1729892202329563E-2</v>
      </c>
      <c r="AS47" s="1002"/>
      <c r="AT47" s="446">
        <v>2.1729892202329605E-2</v>
      </c>
      <c r="AU47" s="132">
        <f t="shared" si="71"/>
        <v>0.86681354811079847</v>
      </c>
      <c r="AV47" s="17"/>
      <c r="AW47" s="125">
        <f t="shared" si="72"/>
        <v>3.3229167830183037E-2</v>
      </c>
      <c r="AX47" s="16"/>
      <c r="AY47" s="26"/>
      <c r="AZ47" s="1001"/>
      <c r="BA47" s="1001"/>
    </row>
    <row r="48" spans="1:53">
      <c r="A48" s="6">
        <v>4.8577314577414654</v>
      </c>
      <c r="B48" s="512">
        <v>3.8579930711773232</v>
      </c>
      <c r="C48" s="125">
        <v>3.8588485717773437</v>
      </c>
      <c r="D48" s="124">
        <f t="shared" si="32"/>
        <v>1.6099599477750664E-4</v>
      </c>
      <c r="E48" s="124">
        <f t="shared" si="73"/>
        <v>0.29863770306023651</v>
      </c>
      <c r="F48" s="125">
        <f t="shared" si="33"/>
        <v>8.555006000205978E-4</v>
      </c>
      <c r="G48" s="123">
        <f t="shared" si="34"/>
        <v>1.6011150236660857E-10</v>
      </c>
      <c r="H48" s="123">
        <f t="shared" si="35"/>
        <v>-1.2653517391089664E-5</v>
      </c>
      <c r="I48" s="124">
        <f t="shared" si="36"/>
        <v>8.8559259161840931E-2</v>
      </c>
      <c r="J48" s="124">
        <f t="shared" si="37"/>
        <v>8.857191267923202E-2</v>
      </c>
      <c r="K48" s="125">
        <f t="shared" si="38"/>
        <v>0.19542135073748323</v>
      </c>
      <c r="L48" s="125">
        <f t="shared" si="39"/>
        <v>0.80457864926251677</v>
      </c>
      <c r="M48" s="123">
        <f t="shared" si="40"/>
        <v>1135.5268039372511</v>
      </c>
      <c r="N48" s="123">
        <f t="shared" si="41"/>
        <v>742295.70509116538</v>
      </c>
      <c r="O48" s="123">
        <f t="shared" si="42"/>
        <v>136831902.80711013</v>
      </c>
      <c r="P48" s="123">
        <f t="shared" si="43"/>
        <v>7.8265108646780188</v>
      </c>
      <c r="Q48" s="123">
        <f t="shared" si="44"/>
        <v>282368.73611488688</v>
      </c>
      <c r="R48" s="123">
        <f t="shared" si="45"/>
        <v>509794119.65451956</v>
      </c>
      <c r="S48" s="123">
        <f t="shared" si="46"/>
        <v>1.0000000000119453</v>
      </c>
      <c r="T48" s="123">
        <f t="shared" si="47"/>
        <v>1.0000000000119453</v>
      </c>
      <c r="U48" s="123">
        <f t="shared" si="48"/>
        <v>664046949170.8822</v>
      </c>
      <c r="V48" s="123">
        <f t="shared" si="49"/>
        <v>509794119.65451956</v>
      </c>
      <c r="W48" s="19">
        <f t="shared" si="50"/>
        <v>1.9722855779684034</v>
      </c>
      <c r="X48" s="19">
        <f t="shared" si="51"/>
        <v>1.0347872494755006</v>
      </c>
      <c r="Y48" s="19">
        <f t="shared" si="52"/>
        <v>1.6006118738045969</v>
      </c>
      <c r="Z48" s="19">
        <f t="shared" si="53"/>
        <v>0.8722291430638498</v>
      </c>
      <c r="AA48" s="19">
        <f t="shared" si="54"/>
        <v>0.99999645853144448</v>
      </c>
      <c r="AB48" s="19">
        <f t="shared" si="55"/>
        <v>1.9962915866366819</v>
      </c>
      <c r="AC48" s="19">
        <f t="shared" si="56"/>
        <v>1.1945351278832944E-11</v>
      </c>
      <c r="AD48" s="19">
        <f t="shared" si="57"/>
        <v>1.1945351277580565E-11</v>
      </c>
      <c r="AE48" s="19">
        <f t="shared" si="58"/>
        <v>0.99999999999849409</v>
      </c>
      <c r="AF48" s="19">
        <f t="shared" si="59"/>
        <v>1.9962915866366819</v>
      </c>
      <c r="AG48" s="123">
        <f t="shared" si="60"/>
        <v>1.3281380592527479E-2</v>
      </c>
      <c r="AH48" s="123">
        <f t="shared" si="61"/>
        <v>4.9115959356450844E-4</v>
      </c>
      <c r="AI48" s="123" t="str">
        <f t="shared" si="62"/>
        <v/>
      </c>
      <c r="AJ48" s="123" t="str">
        <f t="shared" si="63"/>
        <v/>
      </c>
      <c r="AK48" s="123" t="str">
        <f t="shared" si="64"/>
        <v/>
      </c>
      <c r="AL48" s="123" t="str">
        <f t="shared" si="65"/>
        <v/>
      </c>
      <c r="AM48" s="123" t="str">
        <f t="shared" si="66"/>
        <v/>
      </c>
      <c r="AN48" s="123" t="str">
        <f t="shared" si="74"/>
        <v/>
      </c>
      <c r="AO48" s="123">
        <f t="shared" si="67"/>
        <v>1.4714422751394541E-14</v>
      </c>
      <c r="AP48" s="123" t="str">
        <f t="shared" si="68"/>
        <v/>
      </c>
      <c r="AQ48" s="131">
        <f t="shared" si="69"/>
        <v>2.4182500061601293E-2</v>
      </c>
      <c r="AR48" s="123">
        <f t="shared" si="70"/>
        <v>2.4182500061601293E-2</v>
      </c>
      <c r="AS48" s="1002"/>
      <c r="AT48" s="446">
        <v>2.4182500061601414E-2</v>
      </c>
      <c r="AU48" s="132">
        <f t="shared" si="71"/>
        <v>0.86137419477422594</v>
      </c>
      <c r="AV48" s="17"/>
      <c r="AW48" s="125">
        <f t="shared" si="72"/>
        <v>8.555006000205978E-4</v>
      </c>
      <c r="AX48" s="16"/>
      <c r="AY48" s="26"/>
      <c r="AZ48" s="1001"/>
      <c r="BA48" s="1001"/>
    </row>
    <row r="49" spans="1:53">
      <c r="A49" s="6">
        <v>5.3776574277435429</v>
      </c>
      <c r="B49" s="512">
        <v>4.0025701700123921</v>
      </c>
      <c r="C49" s="125">
        <v>3.9975051879882813</v>
      </c>
      <c r="D49" s="124">
        <f t="shared" si="32"/>
        <v>1.1607844058406663E-4</v>
      </c>
      <c r="E49" s="124">
        <f t="shared" si="73"/>
        <v>0.2576760924357373</v>
      </c>
      <c r="F49" s="125">
        <f t="shared" si="33"/>
        <v>-5.0649820241108756E-3</v>
      </c>
      <c r="G49" s="123">
        <f t="shared" si="34"/>
        <v>5.2014115787262756E-9</v>
      </c>
      <c r="H49" s="123">
        <f t="shared" si="35"/>
        <v>7.2120812382600596E-5</v>
      </c>
      <c r="I49" s="124">
        <f t="shared" si="36"/>
        <v>8.6744897105237209E-2</v>
      </c>
      <c r="J49" s="124">
        <f t="shared" si="37"/>
        <v>8.6672776292854609E-2</v>
      </c>
      <c r="K49" s="125">
        <f t="shared" si="38"/>
        <v>0.21190519428576343</v>
      </c>
      <c r="L49" s="125">
        <f t="shared" si="39"/>
        <v>0.78809480571423651</v>
      </c>
      <c r="M49" s="123">
        <f t="shared" si="40"/>
        <v>572.37602642851914</v>
      </c>
      <c r="N49" s="123">
        <f t="shared" si="41"/>
        <v>523902.73516013211</v>
      </c>
      <c r="O49" s="123">
        <f t="shared" si="42"/>
        <v>79764478.830318809</v>
      </c>
      <c r="P49" s="123">
        <f t="shared" si="43"/>
        <v>5.8652828638129186</v>
      </c>
      <c r="Q49" s="123">
        <f t="shared" si="44"/>
        <v>203588.71362459182</v>
      </c>
      <c r="R49" s="123">
        <f t="shared" si="45"/>
        <v>256350985.91911548</v>
      </c>
      <c r="S49" s="123">
        <f t="shared" si="46"/>
        <v>1.0000000000085134</v>
      </c>
      <c r="T49" s="123">
        <f t="shared" si="47"/>
        <v>1.0000000000085134</v>
      </c>
      <c r="U49" s="123">
        <f t="shared" si="48"/>
        <v>473269039867.36511</v>
      </c>
      <c r="V49" s="123">
        <f t="shared" si="49"/>
        <v>256350985.91911548</v>
      </c>
      <c r="W49" s="19">
        <f t="shared" si="50"/>
        <v>1.879355260485988</v>
      </c>
      <c r="X49" s="19">
        <f t="shared" si="51"/>
        <v>1.0253265634496083</v>
      </c>
      <c r="Y49" s="19">
        <f t="shared" si="52"/>
        <v>1.5173246553907556</v>
      </c>
      <c r="Z49" s="19">
        <f t="shared" si="53"/>
        <v>0.82950523901077167</v>
      </c>
      <c r="AA49" s="19">
        <f t="shared" si="54"/>
        <v>0.99999508813635984</v>
      </c>
      <c r="AB49" s="19">
        <f t="shared" si="55"/>
        <v>1.9948044648808967</v>
      </c>
      <c r="AC49" s="19">
        <f t="shared" si="56"/>
        <v>8.5135010853295995E-12</v>
      </c>
      <c r="AD49" s="19">
        <f t="shared" si="57"/>
        <v>8.513501084860244E-12</v>
      </c>
      <c r="AE49" s="19">
        <f t="shared" si="58"/>
        <v>0.99999999999788702</v>
      </c>
      <c r="AF49" s="19">
        <f t="shared" si="59"/>
        <v>1.9948044648808967</v>
      </c>
      <c r="AG49" s="123">
        <f t="shared" si="60"/>
        <v>1.5058460876060746E-2</v>
      </c>
      <c r="AH49" s="123">
        <f t="shared" si="61"/>
        <v>3.502842308476244E-4</v>
      </c>
      <c r="AI49" s="123" t="str">
        <f t="shared" si="62"/>
        <v/>
      </c>
      <c r="AJ49" s="123" t="str">
        <f t="shared" si="63"/>
        <v/>
      </c>
      <c r="AK49" s="123" t="str">
        <f t="shared" si="64"/>
        <v/>
      </c>
      <c r="AL49" s="123" t="str">
        <f t="shared" si="65"/>
        <v/>
      </c>
      <c r="AM49" s="123" t="str">
        <f t="shared" si="66"/>
        <v/>
      </c>
      <c r="AN49" s="123" t="str">
        <f t="shared" si="74"/>
        <v/>
      </c>
      <c r="AO49" s="123">
        <f t="shared" si="67"/>
        <v>2.2387392416916859E-14</v>
      </c>
      <c r="AP49" s="123" t="str">
        <f t="shared" si="68"/>
        <v/>
      </c>
      <c r="AQ49" s="131">
        <f t="shared" si="69"/>
        <v>2.6608998270635065E-2</v>
      </c>
      <c r="AR49" s="123">
        <f t="shared" si="70"/>
        <v>2.6608998270635065E-2</v>
      </c>
      <c r="AS49" s="1002"/>
      <c r="AT49" s="446">
        <v>2.6608998270635391E-2</v>
      </c>
      <c r="AU49" s="132">
        <f t="shared" si="71"/>
        <v>0.85640316747662326</v>
      </c>
      <c r="AV49" s="17"/>
      <c r="AW49" s="125">
        <f t="shared" si="72"/>
        <v>-5.0649820241108756E-3</v>
      </c>
      <c r="AX49" s="16"/>
      <c r="AY49" s="26"/>
      <c r="AZ49" s="1001"/>
      <c r="BA49" s="1001"/>
    </row>
    <row r="50" spans="1:53">
      <c r="A50" s="6">
        <v>5.8992317426600493</v>
      </c>
      <c r="B50" s="512">
        <v>4.126329174600178</v>
      </c>
      <c r="C50" s="125">
        <v>4.1369247436523437</v>
      </c>
      <c r="D50" s="124">
        <f t="shared" si="32"/>
        <v>8.7755099590879654E-5</v>
      </c>
      <c r="E50" s="124">
        <f t="shared" si="73"/>
        <v>0.27261102838781448</v>
      </c>
      <c r="F50" s="125">
        <f t="shared" si="33"/>
        <v>1.0595569052165743E-2</v>
      </c>
      <c r="G50" s="123">
        <f t="shared" si="34"/>
        <v>2.2159936607400687E-8</v>
      </c>
      <c r="H50" s="123">
        <f t="shared" si="35"/>
        <v>-1.4886213960373096E-4</v>
      </c>
      <c r="I50" s="124">
        <f t="shared" si="36"/>
        <v>8.4997976164503539E-2</v>
      </c>
      <c r="J50" s="124">
        <f t="shared" si="37"/>
        <v>8.514683830410727E-2</v>
      </c>
      <c r="K50" s="125">
        <f t="shared" si="38"/>
        <v>0.22777632175641335</v>
      </c>
      <c r="L50" s="125">
        <f t="shared" si="39"/>
        <v>0.77222367824358662</v>
      </c>
      <c r="M50" s="123">
        <f t="shared" si="40"/>
        <v>326.1346639002432</v>
      </c>
      <c r="N50" s="123">
        <f t="shared" si="41"/>
        <v>389511.05480021395</v>
      </c>
      <c r="O50" s="123">
        <f t="shared" si="42"/>
        <v>51353995.906198181</v>
      </c>
      <c r="P50" s="123">
        <f t="shared" si="43"/>
        <v>4.6397309979009265</v>
      </c>
      <c r="Q50" s="123">
        <f t="shared" si="44"/>
        <v>153912.9581096257</v>
      </c>
      <c r="R50" s="123">
        <f t="shared" si="45"/>
        <v>142218753.74741644</v>
      </c>
      <c r="S50" s="123">
        <f t="shared" si="46"/>
        <v>1.0000000000063689</v>
      </c>
      <c r="T50" s="123">
        <f t="shared" si="47"/>
        <v>1.0000000000063689</v>
      </c>
      <c r="U50" s="123">
        <f t="shared" si="48"/>
        <v>354053822351.30841</v>
      </c>
      <c r="V50" s="123">
        <f t="shared" si="49"/>
        <v>142218753.74741644</v>
      </c>
      <c r="W50" s="19">
        <f t="shared" si="50"/>
        <v>1.7962237243930503</v>
      </c>
      <c r="X50" s="19">
        <f t="shared" si="51"/>
        <v>1.0192647771864989</v>
      </c>
      <c r="Y50" s="19">
        <f t="shared" si="52"/>
        <v>1.4450012568054045</v>
      </c>
      <c r="Z50" s="19">
        <f t="shared" si="53"/>
        <v>0.78447026337250747</v>
      </c>
      <c r="AA50" s="19">
        <f t="shared" si="54"/>
        <v>0.9999935028212551</v>
      </c>
      <c r="AB50" s="19">
        <f t="shared" si="55"/>
        <v>1.9930671752257405</v>
      </c>
      <c r="AC50" s="19">
        <f t="shared" si="56"/>
        <v>6.368972352143083E-12</v>
      </c>
      <c r="AD50" s="19">
        <f t="shared" si="57"/>
        <v>6.3689723519402986E-12</v>
      </c>
      <c r="AE50" s="19">
        <f t="shared" si="58"/>
        <v>0.99999999999717559</v>
      </c>
      <c r="AF50" s="19">
        <f t="shared" si="59"/>
        <v>1.9930671752257405</v>
      </c>
      <c r="AG50" s="123">
        <f t="shared" si="60"/>
        <v>1.6731206307443996E-2</v>
      </c>
      <c r="AH50" s="123">
        <f t="shared" si="61"/>
        <v>2.6110984183236991E-4</v>
      </c>
      <c r="AI50" s="123" t="str">
        <f t="shared" si="62"/>
        <v/>
      </c>
      <c r="AJ50" s="123" t="str">
        <f t="shared" si="63"/>
        <v/>
      </c>
      <c r="AK50" s="123" t="str">
        <f t="shared" si="64"/>
        <v/>
      </c>
      <c r="AL50" s="123" t="str">
        <f t="shared" si="65"/>
        <v/>
      </c>
      <c r="AM50" s="123" t="str">
        <f t="shared" si="66"/>
        <v/>
      </c>
      <c r="AN50" s="123" t="str">
        <f t="shared" si="74"/>
        <v/>
      </c>
      <c r="AO50" s="123">
        <f t="shared" si="67"/>
        <v>3.2166906184450578E-14</v>
      </c>
      <c r="AP50" s="123" t="str">
        <f t="shared" si="68"/>
        <v/>
      </c>
      <c r="AQ50" s="131">
        <f t="shared" si="69"/>
        <v>2.8960949144521866E-2</v>
      </c>
      <c r="AR50" s="123">
        <f t="shared" si="70"/>
        <v>2.8960949144521866E-2</v>
      </c>
      <c r="AS50" s="1002"/>
      <c r="AT50" s="446">
        <v>2.8960949144522501E-2</v>
      </c>
      <c r="AU50" s="132">
        <f t="shared" si="71"/>
        <v>0.85191930940440397</v>
      </c>
      <c r="AV50" s="17"/>
      <c r="AW50" s="125">
        <f t="shared" si="72"/>
        <v>1.0595569052165743E-2</v>
      </c>
      <c r="AX50" s="16"/>
      <c r="AY50" s="26"/>
      <c r="AZ50" s="1001"/>
      <c r="BA50" s="1001"/>
    </row>
    <row r="51" spans="1:53">
      <c r="A51" s="6">
        <v>6.4320653895265423</v>
      </c>
      <c r="B51" s="512">
        <v>4.2904112158044843</v>
      </c>
      <c r="C51" s="125">
        <v>4.2750167846679687</v>
      </c>
      <c r="D51" s="124">
        <f t="shared" si="32"/>
        <v>6.0552287962491985E-5</v>
      </c>
      <c r="E51" s="124">
        <f t="shared" si="73"/>
        <v>0.26303553612373054</v>
      </c>
      <c r="F51" s="125">
        <f t="shared" si="33"/>
        <v>-1.5394431136515507E-2</v>
      </c>
      <c r="G51" s="123">
        <f t="shared" si="34"/>
        <v>4.6887116605979929E-8</v>
      </c>
      <c r="H51" s="123">
        <f t="shared" si="35"/>
        <v>2.1653433124098342E-4</v>
      </c>
      <c r="I51" s="124">
        <f t="shared" si="36"/>
        <v>8.328453527562206E-2</v>
      </c>
      <c r="J51" s="124">
        <f t="shared" si="37"/>
        <v>8.3068000944381076E-2</v>
      </c>
      <c r="K51" s="125">
        <f t="shared" si="38"/>
        <v>0.24334327623429639</v>
      </c>
      <c r="L51" s="125">
        <f t="shared" si="39"/>
        <v>0.75665672376570359</v>
      </c>
      <c r="M51" s="123">
        <f t="shared" si="40"/>
        <v>161.13339084406834</v>
      </c>
      <c r="N51" s="123">
        <f t="shared" si="41"/>
        <v>263570.25336897175</v>
      </c>
      <c r="O51" s="123">
        <f t="shared" si="42"/>
        <v>29588404.086176075</v>
      </c>
      <c r="P51" s="123">
        <f t="shared" si="43"/>
        <v>3.4776902442337394</v>
      </c>
      <c r="Q51" s="123">
        <f t="shared" si="44"/>
        <v>106202.47719932225</v>
      </c>
      <c r="R51" s="123">
        <f t="shared" si="45"/>
        <v>65229141.995767377</v>
      </c>
      <c r="S51" s="123">
        <f t="shared" si="46"/>
        <v>1.0000000000043356</v>
      </c>
      <c r="T51" s="123">
        <f t="shared" si="47"/>
        <v>1.0000000000043356</v>
      </c>
      <c r="U51" s="123">
        <f t="shared" si="48"/>
        <v>241016630646.76367</v>
      </c>
      <c r="V51" s="123">
        <f t="shared" si="49"/>
        <v>65229141.995767377</v>
      </c>
      <c r="W51" s="19">
        <f t="shared" si="50"/>
        <v>1.6800569798774798</v>
      </c>
      <c r="X51" s="19">
        <f t="shared" si="51"/>
        <v>1.0133708174037104</v>
      </c>
      <c r="Y51" s="19">
        <f t="shared" si="52"/>
        <v>1.3530928246359704</v>
      </c>
      <c r="Z51" s="19">
        <f t="shared" si="53"/>
        <v>0.71245282651090847</v>
      </c>
      <c r="AA51" s="19">
        <f t="shared" si="54"/>
        <v>0.99999058402377827</v>
      </c>
      <c r="AB51" s="19">
        <f t="shared" si="55"/>
        <v>1.9898486661718253</v>
      </c>
      <c r="AC51" s="19">
        <f t="shared" si="56"/>
        <v>4.3355785944161859E-12</v>
      </c>
      <c r="AD51" s="19">
        <f t="shared" si="57"/>
        <v>4.3355785943495696E-12</v>
      </c>
      <c r="AE51" s="19">
        <f t="shared" si="58"/>
        <v>0.99999999999585087</v>
      </c>
      <c r="AF51" s="19">
        <f t="shared" si="59"/>
        <v>1.9898486661718253</v>
      </c>
      <c r="AG51" s="123">
        <f t="shared" si="60"/>
        <v>1.932073423777194E-2</v>
      </c>
      <c r="AH51" s="123">
        <f t="shared" si="61"/>
        <v>1.7762482028895135E-4</v>
      </c>
      <c r="AI51" s="123" t="str">
        <f t="shared" si="62"/>
        <v/>
      </c>
      <c r="AJ51" s="123" t="str">
        <f t="shared" si="63"/>
        <v/>
      </c>
      <c r="AK51" s="123" t="str">
        <f t="shared" si="64"/>
        <v/>
      </c>
      <c r="AL51" s="123" t="str">
        <f t="shared" si="65"/>
        <v/>
      </c>
      <c r="AM51" s="123" t="str">
        <f t="shared" si="66"/>
        <v/>
      </c>
      <c r="AN51" s="123" t="str">
        <f t="shared" si="74"/>
        <v/>
      </c>
      <c r="AO51" s="123">
        <f t="shared" si="67"/>
        <v>5.0482673245677951E-14</v>
      </c>
      <c r="AP51" s="123" t="str">
        <f t="shared" si="68"/>
        <v/>
      </c>
      <c r="AQ51" s="131">
        <f t="shared" si="69"/>
        <v>3.2220934619401675E-2</v>
      </c>
      <c r="AR51" s="123">
        <f t="shared" si="70"/>
        <v>3.2220934619401675E-2</v>
      </c>
      <c r="AS51" s="1002"/>
      <c r="AT51" s="446">
        <v>3.2220934619402987E-2</v>
      </c>
      <c r="AU51" s="132">
        <f t="shared" si="71"/>
        <v>0.8461711744475614</v>
      </c>
      <c r="AV51" s="17"/>
      <c r="AW51" s="125">
        <f t="shared" si="72"/>
        <v>-1.5394431136515507E-2</v>
      </c>
      <c r="AX51" s="16"/>
      <c r="AY51" s="26"/>
      <c r="AZ51" s="1001"/>
      <c r="BA51" s="1001"/>
    </row>
    <row r="52" spans="1:53">
      <c r="A52" s="6">
        <v>6.9767121531185694</v>
      </c>
      <c r="B52" s="512">
        <v>4.4092143226863287</v>
      </c>
      <c r="C52" s="125">
        <v>4.4148788452148437</v>
      </c>
      <c r="D52" s="124">
        <f t="shared" si="32"/>
        <v>4.6294698469667576E-5</v>
      </c>
      <c r="E52" s="124">
        <f t="shared" si="73"/>
        <v>0.22015720444589365</v>
      </c>
      <c r="F52" s="125">
        <f t="shared" si="33"/>
        <v>5.6645225285150147E-3</v>
      </c>
      <c r="G52" s="123">
        <f t="shared" si="34"/>
        <v>6.2407644578504325E-9</v>
      </c>
      <c r="H52" s="123">
        <f t="shared" si="35"/>
        <v>-7.8998509212835355E-5</v>
      </c>
      <c r="I52" s="124">
        <f t="shared" si="36"/>
        <v>8.1603060812104472E-2</v>
      </c>
      <c r="J52" s="124">
        <f t="shared" si="37"/>
        <v>8.1682059321317307E-2</v>
      </c>
      <c r="K52" s="125">
        <f t="shared" si="38"/>
        <v>0.25861980931994505</v>
      </c>
      <c r="L52" s="125">
        <f t="shared" si="39"/>
        <v>0.7413801906800549</v>
      </c>
      <c r="M52" s="123">
        <f t="shared" si="40"/>
        <v>99.481414167847305</v>
      </c>
      <c r="N52" s="123">
        <f t="shared" si="41"/>
        <v>198847.52145688375</v>
      </c>
      <c r="O52" s="123">
        <f t="shared" si="42"/>
        <v>20263638.707003966</v>
      </c>
      <c r="P52" s="123">
        <f t="shared" si="43"/>
        <v>2.8751676190041744</v>
      </c>
      <c r="Q52" s="123">
        <f t="shared" si="44"/>
        <v>81196.368984593573</v>
      </c>
      <c r="R52" s="123">
        <f t="shared" si="45"/>
        <v>37105175.500466958</v>
      </c>
      <c r="S52" s="123">
        <f t="shared" si="46"/>
        <v>1.0000000000032812</v>
      </c>
      <c r="T52" s="123">
        <f t="shared" si="47"/>
        <v>1.0000000000032812</v>
      </c>
      <c r="U52" s="123">
        <f t="shared" si="48"/>
        <v>182406409551.27695</v>
      </c>
      <c r="V52" s="123">
        <f t="shared" si="49"/>
        <v>37105175.500466958</v>
      </c>
      <c r="W52" s="19">
        <f t="shared" si="50"/>
        <v>1.5918712078966932</v>
      </c>
      <c r="X52" s="19">
        <f t="shared" si="51"/>
        <v>1.0102526988717915</v>
      </c>
      <c r="Y52" s="19">
        <f t="shared" si="52"/>
        <v>1.2923287422242762</v>
      </c>
      <c r="Z52" s="19">
        <f t="shared" si="53"/>
        <v>0.65219419090899688</v>
      </c>
      <c r="AA52" s="19">
        <f t="shared" si="54"/>
        <v>0.99998768417833817</v>
      </c>
      <c r="AB52" s="19">
        <f t="shared" si="55"/>
        <v>1.9866304684384037</v>
      </c>
      <c r="AC52" s="19">
        <f t="shared" si="56"/>
        <v>3.2812561525591388E-12</v>
      </c>
      <c r="AD52" s="19">
        <f t="shared" si="57"/>
        <v>3.2812561525293696E-12</v>
      </c>
      <c r="AE52" s="19">
        <f t="shared" si="58"/>
        <v>0.99999999999451772</v>
      </c>
      <c r="AF52" s="19">
        <f t="shared" si="59"/>
        <v>1.9866304684384037</v>
      </c>
      <c r="AG52" s="123">
        <f t="shared" si="60"/>
        <v>2.1240933352879868E-2</v>
      </c>
      <c r="AH52" s="123">
        <f t="shared" si="61"/>
        <v>1.335074240572364E-4</v>
      </c>
      <c r="AI52" s="123" t="str">
        <f t="shared" si="62"/>
        <v/>
      </c>
      <c r="AJ52" s="123" t="str">
        <f t="shared" si="63"/>
        <v/>
      </c>
      <c r="AK52" s="123" t="str">
        <f t="shared" si="64"/>
        <v/>
      </c>
      <c r="AL52" s="123" t="str">
        <f t="shared" si="65"/>
        <v/>
      </c>
      <c r="AM52" s="123" t="str">
        <f t="shared" si="66"/>
        <v/>
      </c>
      <c r="AN52" s="123" t="str">
        <f t="shared" si="74"/>
        <v/>
      </c>
      <c r="AO52" s="123">
        <f t="shared" si="67"/>
        <v>7.0891096962040543E-14</v>
      </c>
      <c r="AP52" s="123" t="str">
        <f t="shared" si="68"/>
        <v/>
      </c>
      <c r="AQ52" s="131">
        <f t="shared" si="69"/>
        <v>3.4843112004535534E-2</v>
      </c>
      <c r="AR52" s="123">
        <f t="shared" si="70"/>
        <v>3.4843112004535534E-2</v>
      </c>
      <c r="AS52" s="1002"/>
      <c r="AT52" s="446">
        <v>3.4843112004537206E-2</v>
      </c>
      <c r="AU52" s="132">
        <f t="shared" si="71"/>
        <v>0.84188819052267061</v>
      </c>
      <c r="AV52" s="17"/>
      <c r="AW52" s="125">
        <f t="shared" si="72"/>
        <v>5.6645225285150147E-3</v>
      </c>
      <c r="AX52" s="16"/>
      <c r="AY52" s="26"/>
      <c r="AZ52" s="1001"/>
      <c r="BA52" s="1001"/>
    </row>
    <row r="53" spans="1:53">
      <c r="A53" s="6">
        <v>7.5253937233355828</v>
      </c>
      <c r="B53" s="512">
        <v>4.5311235098191993</v>
      </c>
      <c r="C53" s="125">
        <v>4.5546188354492187</v>
      </c>
      <c r="D53" s="124">
        <f t="shared" si="32"/>
        <v>3.5139005569706172E-5</v>
      </c>
      <c r="E53" s="124">
        <f t="shared" si="73"/>
        <v>0.23631333186498227</v>
      </c>
      <c r="F53" s="125">
        <f t="shared" si="33"/>
        <v>2.3495325630019437E-2</v>
      </c>
      <c r="G53" s="123">
        <f t="shared" si="34"/>
        <v>1.0283873671069321E-7</v>
      </c>
      <c r="H53" s="123">
        <f t="shared" si="35"/>
        <v>-3.2068479338860645E-4</v>
      </c>
      <c r="I53" s="124">
        <f t="shared" si="36"/>
        <v>7.9976413942274546E-2</v>
      </c>
      <c r="J53" s="124">
        <f t="shared" si="37"/>
        <v>8.0297098735663153E-2</v>
      </c>
      <c r="K53" s="125">
        <f t="shared" si="38"/>
        <v>0.27339822270936948</v>
      </c>
      <c r="L53" s="125">
        <f t="shared" si="39"/>
        <v>0.72660177729063047</v>
      </c>
      <c r="M53" s="123">
        <f t="shared" si="40"/>
        <v>62.381079971648994</v>
      </c>
      <c r="N53" s="123">
        <f t="shared" si="41"/>
        <v>149062.87695334523</v>
      </c>
      <c r="O53" s="123">
        <f t="shared" si="42"/>
        <v>13981423.07583604</v>
      </c>
      <c r="P53" s="123">
        <f t="shared" si="43"/>
        <v>2.409170404492631</v>
      </c>
      <c r="Q53" s="123">
        <f t="shared" si="44"/>
        <v>61630.616722816689</v>
      </c>
      <c r="R53" s="123">
        <f t="shared" si="45"/>
        <v>20838305.1174445</v>
      </c>
      <c r="S53" s="123">
        <f t="shared" si="46"/>
        <v>1.0000000000024658</v>
      </c>
      <c r="T53" s="123">
        <f t="shared" si="47"/>
        <v>1.0000000000024658</v>
      </c>
      <c r="U53" s="123">
        <f t="shared" si="48"/>
        <v>137076659880.88673</v>
      </c>
      <c r="V53" s="123">
        <f t="shared" si="49"/>
        <v>20838305.1174445</v>
      </c>
      <c r="W53" s="19">
        <f t="shared" si="50"/>
        <v>1.4994869497899479</v>
      </c>
      <c r="X53" s="19">
        <f t="shared" si="51"/>
        <v>1.0077984814561933</v>
      </c>
      <c r="Y53" s="19">
        <f t="shared" si="52"/>
        <v>1.236891547499936</v>
      </c>
      <c r="Z53" s="19">
        <f t="shared" si="53"/>
        <v>0.58491935724629684</v>
      </c>
      <c r="AA53" s="19">
        <f t="shared" si="54"/>
        <v>0.99998377429834107</v>
      </c>
      <c r="AB53" s="19">
        <f t="shared" si="55"/>
        <v>1.9822875955381241</v>
      </c>
      <c r="AC53" s="19">
        <f t="shared" si="56"/>
        <v>2.4658323393100153E-12</v>
      </c>
      <c r="AD53" s="19">
        <f t="shared" si="57"/>
        <v>2.4658323392969977E-12</v>
      </c>
      <c r="AE53" s="19">
        <f t="shared" si="58"/>
        <v>0.99999999999270484</v>
      </c>
      <c r="AF53" s="19">
        <f t="shared" si="59"/>
        <v>1.9822875955381241</v>
      </c>
      <c r="AG53" s="123">
        <f t="shared" si="60"/>
        <v>2.3290148435880551E-2</v>
      </c>
      <c r="AH53" s="123">
        <f t="shared" si="61"/>
        <v>9.9598650523777184E-5</v>
      </c>
      <c r="AI53" s="123" t="str">
        <f t="shared" si="62"/>
        <v/>
      </c>
      <c r="AJ53" s="123" t="str">
        <f t="shared" si="63"/>
        <v/>
      </c>
      <c r="AK53" s="123" t="str">
        <f t="shared" si="64"/>
        <v/>
      </c>
      <c r="AL53" s="123" t="str">
        <f t="shared" si="65"/>
        <v/>
      </c>
      <c r="AM53" s="123" t="str">
        <f t="shared" si="66"/>
        <v/>
      </c>
      <c r="AN53" s="123" t="str">
        <f t="shared" si="74"/>
        <v/>
      </c>
      <c r="AO53" s="123">
        <f t="shared" si="67"/>
        <v>9.9724571253392038E-14</v>
      </c>
      <c r="AP53" s="123" t="str">
        <f t="shared" si="68"/>
        <v/>
      </c>
      <c r="AQ53" s="131">
        <f t="shared" si="69"/>
        <v>3.7581504662575441E-2</v>
      </c>
      <c r="AR53" s="123">
        <f t="shared" si="70"/>
        <v>3.7581504662575441E-2</v>
      </c>
      <c r="AS53" s="1002"/>
      <c r="AT53" s="446">
        <v>3.7581504662577286E-2</v>
      </c>
      <c r="AU53" s="132">
        <f t="shared" si="71"/>
        <v>0.83769712192013734</v>
      </c>
      <c r="AV53" s="17"/>
      <c r="AW53" s="125">
        <f t="shared" si="72"/>
        <v>2.3495325630019437E-2</v>
      </c>
      <c r="AX53" s="16"/>
      <c r="AY53" s="26"/>
      <c r="AZ53" s="1001"/>
      <c r="BA53" s="1001"/>
    </row>
    <row r="54" spans="1:53">
      <c r="A54" s="6">
        <v>8.0660327701480128</v>
      </c>
      <c r="B54" s="512">
        <v>4.666521685185482</v>
      </c>
      <c r="C54" s="125">
        <v>4.6936111450195313</v>
      </c>
      <c r="D54" s="124">
        <f t="shared" si="32"/>
        <v>2.586049681074817E-5</v>
      </c>
      <c r="E54" s="124">
        <f t="shared" si="73"/>
        <v>0.30919147879390374</v>
      </c>
      <c r="F54" s="125">
        <f t="shared" si="33"/>
        <v>2.7089459834049201E-2</v>
      </c>
      <c r="G54" s="123">
        <f t="shared" si="34"/>
        <v>1.2572582213453161E-7</v>
      </c>
      <c r="H54" s="123">
        <f t="shared" si="35"/>
        <v>-3.5457837234458001E-4</v>
      </c>
      <c r="I54" s="124">
        <f t="shared" si="36"/>
        <v>7.8435819567738749E-2</v>
      </c>
      <c r="J54" s="124">
        <f t="shared" si="37"/>
        <v>7.8790397940083329E-2</v>
      </c>
      <c r="K54" s="125">
        <f t="shared" si="38"/>
        <v>0.28739483190254517</v>
      </c>
      <c r="L54" s="125">
        <f t="shared" si="39"/>
        <v>0.71260516809745478</v>
      </c>
      <c r="M54" s="123">
        <f t="shared" si="40"/>
        <v>38.448675186920667</v>
      </c>
      <c r="N54" s="123">
        <f t="shared" si="41"/>
        <v>108350.48191044509</v>
      </c>
      <c r="O54" s="123">
        <f t="shared" si="42"/>
        <v>9430444.1461157762</v>
      </c>
      <c r="P54" s="123">
        <f t="shared" si="43"/>
        <v>2.0264073792501693</v>
      </c>
      <c r="Q54" s="123">
        <f t="shared" si="44"/>
        <v>45357.221124312258</v>
      </c>
      <c r="R54" s="123">
        <f t="shared" si="45"/>
        <v>11013945.841229536</v>
      </c>
      <c r="S54" s="123">
        <f t="shared" si="46"/>
        <v>1.0000000000017961</v>
      </c>
      <c r="T54" s="123">
        <f t="shared" si="47"/>
        <v>1.0000000000017961</v>
      </c>
      <c r="U54" s="123">
        <f t="shared" si="48"/>
        <v>99843492863.979126</v>
      </c>
      <c r="V54" s="123">
        <f t="shared" si="49"/>
        <v>11013945.841229536</v>
      </c>
      <c r="W54" s="19">
        <f t="shared" si="50"/>
        <v>1.3969178391023014</v>
      </c>
      <c r="X54" s="19">
        <f t="shared" si="51"/>
        <v>1.0057468369219669</v>
      </c>
      <c r="Y54" s="19">
        <f t="shared" si="52"/>
        <v>1.1844123644552749</v>
      </c>
      <c r="Z54" s="19">
        <f t="shared" si="53"/>
        <v>0.50651581205254514</v>
      </c>
      <c r="AA54" s="19">
        <f t="shared" si="54"/>
        <v>0.99997795279394963</v>
      </c>
      <c r="AB54" s="19">
        <f t="shared" si="55"/>
        <v>1.9758418877260728</v>
      </c>
      <c r="AC54" s="19">
        <f t="shared" si="56"/>
        <v>1.7960556466565612E-12</v>
      </c>
      <c r="AD54" s="19">
        <f t="shared" si="57"/>
        <v>1.7960556466513724E-12</v>
      </c>
      <c r="AE54" s="19">
        <f t="shared" si="58"/>
        <v>0.99999999998998435</v>
      </c>
      <c r="AF54" s="19">
        <f t="shared" si="59"/>
        <v>1.9758418877260728</v>
      </c>
      <c r="AG54" s="123">
        <f t="shared" si="60"/>
        <v>2.5646879381699617E-2</v>
      </c>
      <c r="AH54" s="123">
        <f t="shared" si="61"/>
        <v>7.2089322285908715E-5</v>
      </c>
      <c r="AI54" s="123" t="str">
        <f t="shared" si="62"/>
        <v/>
      </c>
      <c r="AJ54" s="123" t="str">
        <f t="shared" si="63"/>
        <v/>
      </c>
      <c r="AK54" s="123" t="str">
        <f t="shared" si="64"/>
        <v/>
      </c>
      <c r="AL54" s="123" t="str">
        <f t="shared" si="65"/>
        <v/>
      </c>
      <c r="AM54" s="123" t="str">
        <f t="shared" si="66"/>
        <v/>
      </c>
      <c r="AN54" s="123" t="str">
        <f t="shared" si="74"/>
        <v/>
      </c>
      <c r="AO54" s="123">
        <f t="shared" si="67"/>
        <v>1.4392266519265051E-13</v>
      </c>
      <c r="AP54" s="123" t="str">
        <f t="shared" si="68"/>
        <v/>
      </c>
      <c r="AQ54" s="131">
        <f t="shared" si="69"/>
        <v>4.0596203624720842E-2</v>
      </c>
      <c r="AR54" s="123">
        <f t="shared" si="70"/>
        <v>4.0596203624720842E-2</v>
      </c>
      <c r="AS54" s="1002"/>
      <c r="AT54" s="446">
        <v>4.0596203624722708E-2</v>
      </c>
      <c r="AU54" s="132">
        <f t="shared" si="71"/>
        <v>0.83337688580887803</v>
      </c>
      <c r="AV54" s="17"/>
      <c r="AW54" s="125">
        <f t="shared" si="72"/>
        <v>2.7089459834049201E-2</v>
      </c>
      <c r="AX54" s="16"/>
      <c r="AY54" s="26"/>
      <c r="AZ54" s="1001"/>
      <c r="BA54" s="1001"/>
    </row>
    <row r="55" spans="1:53">
      <c r="A55" s="6">
        <v>8.5878766272799112</v>
      </c>
      <c r="B55" s="512">
        <v>4.8585299434066762</v>
      </c>
      <c r="C55" s="125">
        <v>4.8298263549804687</v>
      </c>
      <c r="D55" s="124">
        <f t="shared" si="32"/>
        <v>1.673039758730465E-5</v>
      </c>
      <c r="E55" s="124">
        <f t="shared" si="73"/>
        <v>0.27436846030679235</v>
      </c>
      <c r="F55" s="125">
        <f t="shared" si="33"/>
        <v>-2.870358842620746E-2</v>
      </c>
      <c r="G55" s="123">
        <f t="shared" si="34"/>
        <v>1.2360781747578426E-7</v>
      </c>
      <c r="H55" s="123">
        <f t="shared" si="35"/>
        <v>3.5157903446562944E-4</v>
      </c>
      <c r="I55" s="124">
        <f t="shared" si="36"/>
        <v>7.7004050039900782E-2</v>
      </c>
      <c r="J55" s="124">
        <f t="shared" si="37"/>
        <v>7.6652471005435152E-2</v>
      </c>
      <c r="K55" s="125">
        <f t="shared" si="38"/>
        <v>0.30040274551503243</v>
      </c>
      <c r="L55" s="125">
        <f t="shared" si="39"/>
        <v>0.69959725448496757</v>
      </c>
      <c r="M55" s="123">
        <f t="shared" si="40"/>
        <v>20.575701945660199</v>
      </c>
      <c r="N55" s="123">
        <f t="shared" si="41"/>
        <v>69034.111630236512</v>
      </c>
      <c r="O55" s="123">
        <f t="shared" si="42"/>
        <v>5545268.0685677854</v>
      </c>
      <c r="P55" s="123">
        <f t="shared" si="43"/>
        <v>1.6552904690708528</v>
      </c>
      <c r="Q55" s="123">
        <f t="shared" si="44"/>
        <v>29344.118116434063</v>
      </c>
      <c r="R55" s="123">
        <f t="shared" si="45"/>
        <v>4490734.8493234292</v>
      </c>
      <c r="S55" s="123">
        <f t="shared" si="46"/>
        <v>1.0000000000011466</v>
      </c>
      <c r="T55" s="123">
        <f t="shared" si="47"/>
        <v>1.0000000000011466</v>
      </c>
      <c r="U55" s="123">
        <f t="shared" si="48"/>
        <v>63743198456.617615</v>
      </c>
      <c r="V55" s="123">
        <f t="shared" si="49"/>
        <v>4490734.8493234292</v>
      </c>
      <c r="W55" s="19">
        <f t="shared" si="50"/>
        <v>1.2558150905119021</v>
      </c>
      <c r="X55" s="19">
        <f t="shared" si="51"/>
        <v>1.0037169536341162</v>
      </c>
      <c r="Y55" s="19">
        <f t="shared" si="52"/>
        <v>1.1261456055343921</v>
      </c>
      <c r="Z55" s="19">
        <f t="shared" si="53"/>
        <v>0.39587642248594607</v>
      </c>
      <c r="AA55" s="19">
        <f t="shared" si="54"/>
        <v>0.99996592162027043</v>
      </c>
      <c r="AB55" s="19">
        <f t="shared" si="55"/>
        <v>1.962670754761882</v>
      </c>
      <c r="AC55" s="19">
        <f t="shared" si="56"/>
        <v>1.146657895759103E-12</v>
      </c>
      <c r="AD55" s="19">
        <f t="shared" si="57"/>
        <v>1.1466578957576981E-12</v>
      </c>
      <c r="AE55" s="19">
        <f t="shared" si="58"/>
        <v>0.9999999999843121</v>
      </c>
      <c r="AF55" s="19">
        <f t="shared" si="59"/>
        <v>1.962670754761882</v>
      </c>
      <c r="AG55" s="123">
        <f t="shared" si="60"/>
        <v>2.9182933954936225E-2</v>
      </c>
      <c r="AH55" s="123">
        <f t="shared" si="61"/>
        <v>4.598408544232595E-5</v>
      </c>
      <c r="AI55" s="123" t="str">
        <f t="shared" si="62"/>
        <v/>
      </c>
      <c r="AJ55" s="123" t="str">
        <f t="shared" si="63"/>
        <v/>
      </c>
      <c r="AK55" s="123" t="str">
        <f t="shared" si="64"/>
        <v/>
      </c>
      <c r="AL55" s="123" t="str">
        <f t="shared" si="65"/>
        <v/>
      </c>
      <c r="AM55" s="123" t="str">
        <f t="shared" si="66"/>
        <v/>
      </c>
      <c r="AN55" s="123" t="str">
        <f t="shared" si="74"/>
        <v/>
      </c>
      <c r="AO55" s="123">
        <f t="shared" si="67"/>
        <v>2.3563513660165698E-13</v>
      </c>
      <c r="AP55" s="123" t="str">
        <f t="shared" si="68"/>
        <v/>
      </c>
      <c r="AQ55" s="131">
        <f t="shared" si="69"/>
        <v>4.4742955989299699E-2</v>
      </c>
      <c r="AR55" s="123">
        <f t="shared" si="70"/>
        <v>4.4742955989299699E-2</v>
      </c>
      <c r="AS55" s="1002"/>
      <c r="AT55" s="446">
        <v>4.4742955989301697E-2</v>
      </c>
      <c r="AU55" s="132">
        <f t="shared" si="71"/>
        <v>0.8278731446844978</v>
      </c>
      <c r="AV55" s="17"/>
      <c r="AW55" s="125">
        <f t="shared" si="72"/>
        <v>-2.870358842620746E-2</v>
      </c>
      <c r="AX55" s="16"/>
      <c r="AY55" s="26"/>
      <c r="AZ55" s="1001"/>
      <c r="BA55" s="1001"/>
    </row>
    <row r="56" spans="1:53" ht="12" customHeight="1">
      <c r="A56" s="6">
        <v>9.0860306183458306</v>
      </c>
      <c r="B56" s="512">
        <v>4.9485936682870735</v>
      </c>
      <c r="C56" s="125">
        <v>4.9705123901367188</v>
      </c>
      <c r="D56" s="124">
        <f t="shared" si="32"/>
        <v>1.3637151826696135E-5</v>
      </c>
      <c r="E56" s="124">
        <f t="shared" si="73"/>
        <v>0.31300348692797042</v>
      </c>
      <c r="F56" s="125">
        <f t="shared" si="33"/>
        <v>2.1918721849645273E-2</v>
      </c>
      <c r="G56" s="123">
        <f t="shared" si="34"/>
        <v>6.4484096581093706E-8</v>
      </c>
      <c r="H56" s="123">
        <f t="shared" si="35"/>
        <v>-2.5393719022839822E-4</v>
      </c>
      <c r="I56" s="124">
        <f t="shared" si="36"/>
        <v>7.5685208175262822E-2</v>
      </c>
      <c r="J56" s="124">
        <f t="shared" si="37"/>
        <v>7.593914536549122E-2</v>
      </c>
      <c r="K56" s="125">
        <f t="shared" si="38"/>
        <v>0.31238468863519914</v>
      </c>
      <c r="L56" s="125">
        <f t="shared" si="39"/>
        <v>0.68761531136480092</v>
      </c>
      <c r="M56" s="123">
        <f t="shared" si="40"/>
        <v>15.704230512141903</v>
      </c>
      <c r="N56" s="123">
        <f t="shared" si="41"/>
        <v>55901.135347065989</v>
      </c>
      <c r="O56" s="123">
        <f t="shared" si="42"/>
        <v>4360109.8036429649</v>
      </c>
      <c r="P56" s="123">
        <f t="shared" si="43"/>
        <v>1.5309932346040631</v>
      </c>
      <c r="Q56" s="123">
        <f t="shared" si="44"/>
        <v>23918.934689498103</v>
      </c>
      <c r="R56" s="123">
        <f t="shared" si="45"/>
        <v>2956949.3108581663</v>
      </c>
      <c r="S56" s="123">
        <f t="shared" si="46"/>
        <v>1.0000000000009293</v>
      </c>
      <c r="T56" s="123">
        <f t="shared" si="47"/>
        <v>1.0000000000009293</v>
      </c>
      <c r="U56" s="123">
        <f t="shared" si="48"/>
        <v>51652219481.545227</v>
      </c>
      <c r="V56" s="123">
        <f t="shared" si="49"/>
        <v>2956949.3108581663</v>
      </c>
      <c r="W56" s="19">
        <f t="shared" si="50"/>
        <v>1.1921585686721228</v>
      </c>
      <c r="X56" s="19">
        <f t="shared" si="51"/>
        <v>1.0030257425289404</v>
      </c>
      <c r="Y56" s="19">
        <f t="shared" si="52"/>
        <v>1.1047236836132419</v>
      </c>
      <c r="Z56" s="19">
        <f t="shared" si="53"/>
        <v>0.34682924953707295</v>
      </c>
      <c r="AA56" s="19">
        <f t="shared" si="54"/>
        <v>0.99995819211796089</v>
      </c>
      <c r="AB56" s="19">
        <f t="shared" si="55"/>
        <v>1.9543314889584826</v>
      </c>
      <c r="AC56" s="19">
        <f t="shared" si="56"/>
        <v>9.2915677859601586E-13</v>
      </c>
      <c r="AD56" s="19">
        <f t="shared" si="57"/>
        <v>9.2915677859525512E-13</v>
      </c>
      <c r="AE56" s="19">
        <f t="shared" si="58"/>
        <v>0.99999999998063971</v>
      </c>
      <c r="AF56" s="19">
        <f t="shared" si="59"/>
        <v>1.9543314889584826</v>
      </c>
      <c r="AG56" s="123">
        <f t="shared" si="60"/>
        <v>3.0558096114794615E-2</v>
      </c>
      <c r="AH56" s="123">
        <f t="shared" si="61"/>
        <v>3.693882158926257E-5</v>
      </c>
      <c r="AI56" s="123" t="str">
        <f t="shared" si="62"/>
        <v/>
      </c>
      <c r="AJ56" s="123" t="str">
        <f t="shared" si="63"/>
        <v/>
      </c>
      <c r="AK56" s="123" t="str">
        <f t="shared" si="64"/>
        <v/>
      </c>
      <c r="AL56" s="123" t="str">
        <f t="shared" si="65"/>
        <v/>
      </c>
      <c r="AM56" s="123" t="str">
        <f t="shared" si="66"/>
        <v/>
      </c>
      <c r="AN56" s="123" t="str">
        <f t="shared" si="74"/>
        <v/>
      </c>
      <c r="AO56" s="123">
        <f t="shared" si="67"/>
        <v>3.0239231902397804E-13</v>
      </c>
      <c r="AP56" s="123" t="str">
        <f t="shared" si="68"/>
        <v/>
      </c>
      <c r="AQ56" s="131">
        <f t="shared" si="69"/>
        <v>4.6698307804394254E-2</v>
      </c>
      <c r="AR56" s="123">
        <f t="shared" si="70"/>
        <v>4.6698307804394254E-2</v>
      </c>
      <c r="AS56" s="1002"/>
      <c r="AT56" s="446">
        <v>4.669830780439628E-2</v>
      </c>
      <c r="AU56" s="132">
        <f t="shared" si="71"/>
        <v>0.82543457466126557</v>
      </c>
      <c r="AV56" s="17"/>
      <c r="AW56" s="125">
        <f t="shared" si="72"/>
        <v>2.1918721849645273E-2</v>
      </c>
      <c r="AX56" s="123"/>
      <c r="AY56" s="26"/>
      <c r="AZ56" s="1001"/>
      <c r="BA56" s="1001"/>
    </row>
    <row r="57" spans="1:53">
      <c r="A57" s="6">
        <v>9.5631117394077592</v>
      </c>
      <c r="B57" s="512">
        <v>5.160995920721752</v>
      </c>
      <c r="C57" s="125">
        <v>5.1053695678710938</v>
      </c>
      <c r="D57" s="124">
        <f t="shared" si="32"/>
        <v>8.416116085879545E-6</v>
      </c>
      <c r="E57" s="124">
        <f t="shared" si="73"/>
        <v>0.29902155328986063</v>
      </c>
      <c r="F57" s="125">
        <f t="shared" si="33"/>
        <v>-5.5626352850658201E-2</v>
      </c>
      <c r="G57" s="123">
        <f t="shared" si="34"/>
        <v>3.6826136618748436E-7</v>
      </c>
      <c r="H57" s="123">
        <f t="shared" si="35"/>
        <v>6.0684542198774505E-4</v>
      </c>
      <c r="I57" s="124">
        <f t="shared" si="36"/>
        <v>7.4463821729805257E-2</v>
      </c>
      <c r="J57" s="124">
        <f t="shared" si="37"/>
        <v>7.3856976307817512E-2</v>
      </c>
      <c r="K57" s="125">
        <f t="shared" si="38"/>
        <v>0.32348122970627913</v>
      </c>
      <c r="L57" s="125">
        <f t="shared" si="39"/>
        <v>0.67651877029372087</v>
      </c>
      <c r="M57" s="123">
        <f t="shared" si="40"/>
        <v>8.785493911503556</v>
      </c>
      <c r="N57" s="123">
        <f t="shared" si="41"/>
        <v>34019.404457464145</v>
      </c>
      <c r="O57" s="123">
        <f t="shared" si="42"/>
        <v>2515240.9486660496</v>
      </c>
      <c r="P57" s="123">
        <f t="shared" si="43"/>
        <v>1.3235165043847998</v>
      </c>
      <c r="Q57" s="123">
        <f t="shared" si="44"/>
        <v>14761.861904260933</v>
      </c>
      <c r="R57" s="123">
        <f t="shared" si="45"/>
        <v>1115360.2809601289</v>
      </c>
      <c r="S57" s="123">
        <f t="shared" si="46"/>
        <v>1.0000000000005662</v>
      </c>
      <c r="T57" s="123">
        <f t="shared" si="47"/>
        <v>1.0000000000005662</v>
      </c>
      <c r="U57" s="123">
        <f t="shared" si="48"/>
        <v>31469978149.634197</v>
      </c>
      <c r="V57" s="123">
        <f t="shared" si="49"/>
        <v>1115360.2809601289</v>
      </c>
      <c r="W57" s="19">
        <f t="shared" si="50"/>
        <v>1.0479593190000478</v>
      </c>
      <c r="X57" s="19">
        <f t="shared" si="51"/>
        <v>1.0018511401464856</v>
      </c>
      <c r="Y57" s="19">
        <f t="shared" si="52"/>
        <v>1.0665266135212439</v>
      </c>
      <c r="Z57" s="19">
        <f t="shared" si="53"/>
        <v>0.24443707601151346</v>
      </c>
      <c r="AA57" s="19">
        <f t="shared" si="54"/>
        <v>0.99993225786784312</v>
      </c>
      <c r="AB57" s="19">
        <f t="shared" si="55"/>
        <v>1.9271756386917311</v>
      </c>
      <c r="AC57" s="19">
        <f t="shared" si="56"/>
        <v>5.6610429344182336E-13</v>
      </c>
      <c r="AD57" s="19">
        <f t="shared" si="57"/>
        <v>5.6610429344164453E-13</v>
      </c>
      <c r="AE57" s="19">
        <f t="shared" si="58"/>
        <v>0.99999999996822364</v>
      </c>
      <c r="AF57" s="19">
        <f t="shared" si="59"/>
        <v>1.9271756386917311</v>
      </c>
      <c r="AG57" s="123">
        <f t="shared" si="60"/>
        <v>3.4536835167512062E-2</v>
      </c>
      <c r="AH57" s="123">
        <f t="shared" si="61"/>
        <v>2.2672412234058076E-5</v>
      </c>
      <c r="AI57" s="123" t="str">
        <f t="shared" si="62"/>
        <v/>
      </c>
      <c r="AJ57" s="123" t="str">
        <f t="shared" si="63"/>
        <v/>
      </c>
      <c r="AK57" s="123" t="str">
        <f t="shared" si="64"/>
        <v/>
      </c>
      <c r="AL57" s="123" t="str">
        <f t="shared" si="65"/>
        <v/>
      </c>
      <c r="AM57" s="123" t="str">
        <f t="shared" si="66"/>
        <v/>
      </c>
      <c r="AN57" s="123" t="str">
        <f t="shared" si="74"/>
        <v/>
      </c>
      <c r="AO57" s="123">
        <f t="shared" si="67"/>
        <v>5.1395210407866013E-13</v>
      </c>
      <c r="AP57" s="123" t="str">
        <f t="shared" si="68"/>
        <v/>
      </c>
      <c r="AQ57" s="131">
        <f t="shared" si="69"/>
        <v>5.1207296101639981E-2</v>
      </c>
      <c r="AR57" s="123">
        <f t="shared" si="70"/>
        <v>5.1207296101639981E-2</v>
      </c>
      <c r="AS57" s="1002"/>
      <c r="AT57" s="446">
        <v>5.1207296101643422E-2</v>
      </c>
      <c r="AU57" s="132">
        <f t="shared" si="71"/>
        <v>0.8201482491099098</v>
      </c>
      <c r="AV57" s="17"/>
      <c r="AW57" s="125">
        <f t="shared" si="72"/>
        <v>-5.5626352850658201E-2</v>
      </c>
      <c r="AX57" s="16"/>
      <c r="AY57" s="26"/>
      <c r="AZ57" s="1001"/>
      <c r="BA57" s="1001"/>
    </row>
    <row r="58" spans="1:53">
      <c r="A58" s="6">
        <v>10.027885822637472</v>
      </c>
      <c r="B58" s="512">
        <v>5.2320278461258294</v>
      </c>
      <c r="C58" s="125">
        <v>5.2468643188476562</v>
      </c>
      <c r="D58" s="124">
        <f t="shared" si="32"/>
        <v>7.1609641091878133E-6</v>
      </c>
      <c r="E58" s="124">
        <f t="shared" si="73"/>
        <v>0.25898328595919284</v>
      </c>
      <c r="F58" s="125">
        <f t="shared" si="33"/>
        <v>1.4836472721826865E-2</v>
      </c>
      <c r="G58" s="123">
        <f t="shared" si="34"/>
        <v>2.4806901539829559E-8</v>
      </c>
      <c r="H58" s="123">
        <f t="shared" si="35"/>
        <v>-1.5750206836682989E-4</v>
      </c>
      <c r="I58" s="124">
        <f t="shared" si="36"/>
        <v>7.3311264580671567E-2</v>
      </c>
      <c r="J58" s="124">
        <f t="shared" si="37"/>
        <v>7.3468766649038397E-2</v>
      </c>
      <c r="K58" s="125">
        <f t="shared" si="38"/>
        <v>0.33395244280160519</v>
      </c>
      <c r="L58" s="125">
        <f t="shared" si="39"/>
        <v>0.66604755719839481</v>
      </c>
      <c r="M58" s="123">
        <f t="shared" si="40"/>
        <v>7.357060481008979</v>
      </c>
      <c r="N58" s="123">
        <f t="shared" si="41"/>
        <v>28819.308631336309</v>
      </c>
      <c r="O58" s="123">
        <f t="shared" si="42"/>
        <v>2101069.3997171787</v>
      </c>
      <c r="P58" s="123">
        <f t="shared" si="43"/>
        <v>1.2741402539219404</v>
      </c>
      <c r="Q58" s="123">
        <f t="shared" si="44"/>
        <v>12560.47532549316</v>
      </c>
      <c r="R58" s="123">
        <f t="shared" si="45"/>
        <v>808060.64935256902</v>
      </c>
      <c r="S58" s="123">
        <f t="shared" si="46"/>
        <v>1.0000000000004796</v>
      </c>
      <c r="T58" s="123">
        <f t="shared" si="47"/>
        <v>1.0000000000004796</v>
      </c>
      <c r="U58" s="123">
        <f t="shared" si="48"/>
        <v>26666917093.807926</v>
      </c>
      <c r="V58" s="123">
        <f t="shared" si="49"/>
        <v>808060.64935256902</v>
      </c>
      <c r="W58" s="19">
        <f t="shared" si="50"/>
        <v>1.0007874242268562</v>
      </c>
      <c r="X58" s="19">
        <f t="shared" si="51"/>
        <v>1.0015658197305735</v>
      </c>
      <c r="Y58" s="19">
        <f t="shared" si="52"/>
        <v>1.0569512037459823</v>
      </c>
      <c r="Z58" s="19">
        <f t="shared" si="53"/>
        <v>0.21515704654813883</v>
      </c>
      <c r="AA58" s="19">
        <f t="shared" si="54"/>
        <v>0.99992038517857917</v>
      </c>
      <c r="AB58" s="19">
        <f t="shared" si="55"/>
        <v>1.9151712948471729</v>
      </c>
      <c r="AC58" s="19">
        <f t="shared" si="56"/>
        <v>4.7970342241418759E-13</v>
      </c>
      <c r="AD58" s="19">
        <f t="shared" si="57"/>
        <v>4.7970342241407742E-13</v>
      </c>
      <c r="AE58" s="19">
        <f t="shared" si="58"/>
        <v>0.99999999996250033</v>
      </c>
      <c r="AF58" s="19">
        <f t="shared" si="59"/>
        <v>1.9151712948471729</v>
      </c>
      <c r="AG58" s="123">
        <f t="shared" si="60"/>
        <v>3.5541965963575353E-2</v>
      </c>
      <c r="AH58" s="123">
        <f t="shared" si="61"/>
        <v>1.9110902884981408E-5</v>
      </c>
      <c r="AI58" s="123" t="str">
        <f t="shared" si="62"/>
        <v/>
      </c>
      <c r="AJ58" s="123" t="str">
        <f t="shared" si="63"/>
        <v/>
      </c>
      <c r="AK58" s="123" t="str">
        <f t="shared" si="64"/>
        <v/>
      </c>
      <c r="AL58" s="123" t="str">
        <f t="shared" si="65"/>
        <v/>
      </c>
      <c r="AM58" s="123" t="str">
        <f t="shared" si="66"/>
        <v/>
      </c>
      <c r="AN58" s="123" t="str">
        <f t="shared" si="74"/>
        <v/>
      </c>
      <c r="AO58" s="123">
        <f t="shared" si="67"/>
        <v>6.2615495002073025E-13</v>
      </c>
      <c r="AP58" s="123" t="str">
        <f t="shared" si="68"/>
        <v/>
      </c>
      <c r="AQ58" s="131">
        <f t="shared" si="69"/>
        <v>5.2724531388494145E-2</v>
      </c>
      <c r="AR58" s="123">
        <f t="shared" si="70"/>
        <v>5.2724531388494145E-2</v>
      </c>
      <c r="AS58" s="1002"/>
      <c r="AT58" s="446">
        <v>5.2724531388498197E-2</v>
      </c>
      <c r="AU58" s="132">
        <f t="shared" si="71"/>
        <v>0.81846602598735574</v>
      </c>
      <c r="AV58" s="17"/>
      <c r="AW58" s="125">
        <f t="shared" si="72"/>
        <v>1.4836472721826865E-2</v>
      </c>
      <c r="AX58" s="16"/>
      <c r="AY58" s="26"/>
      <c r="AZ58" s="1001"/>
      <c r="BA58" s="1001"/>
    </row>
    <row r="59" spans="1:53">
      <c r="A59" s="6">
        <v>10.491771616216283</v>
      </c>
      <c r="B59" s="512">
        <v>5.4014090132506976</v>
      </c>
      <c r="C59" s="125">
        <v>5.3834457397460937</v>
      </c>
      <c r="D59" s="124">
        <f t="shared" si="32"/>
        <v>4.8721538200567304E-6</v>
      </c>
      <c r="E59" s="124">
        <f t="shared" si="73"/>
        <v>0.30864384222275937</v>
      </c>
      <c r="F59" s="125">
        <f t="shared" si="33"/>
        <v>-1.7963273504603805E-2</v>
      </c>
      <c r="G59" s="123">
        <f t="shared" si="34"/>
        <v>3.5831026548106947E-8</v>
      </c>
      <c r="H59" s="123">
        <f t="shared" si="35"/>
        <v>1.8929085172851579E-4</v>
      </c>
      <c r="I59" s="124">
        <f t="shared" si="36"/>
        <v>7.2195945517669516E-2</v>
      </c>
      <c r="J59" s="124">
        <f t="shared" si="37"/>
        <v>7.2006654665941E-2</v>
      </c>
      <c r="K59" s="125">
        <f t="shared" si="38"/>
        <v>0.34408534040824634</v>
      </c>
      <c r="L59" s="125">
        <f t="shared" si="39"/>
        <v>0.65591465959175366</v>
      </c>
      <c r="M59" s="123">
        <f t="shared" si="40"/>
        <v>4.9790567085028785</v>
      </c>
      <c r="N59" s="123">
        <f t="shared" si="41"/>
        <v>19406.928475547225</v>
      </c>
      <c r="O59" s="123">
        <f t="shared" si="42"/>
        <v>1375693.3144844705</v>
      </c>
      <c r="P59" s="123">
        <f t="shared" si="43"/>
        <v>1.1846974852885686</v>
      </c>
      <c r="Q59" s="123">
        <f t="shared" si="44"/>
        <v>8546.1755869713506</v>
      </c>
      <c r="R59" s="123">
        <f t="shared" si="45"/>
        <v>378131.69634657842</v>
      </c>
      <c r="S59" s="123">
        <f t="shared" si="46"/>
        <v>1.0000000000003233</v>
      </c>
      <c r="T59" s="123">
        <f t="shared" si="47"/>
        <v>1.0000000000003233</v>
      </c>
      <c r="U59" s="123">
        <f t="shared" si="48"/>
        <v>17966396606.304161</v>
      </c>
      <c r="V59" s="123">
        <f t="shared" si="49"/>
        <v>378131.69634657842</v>
      </c>
      <c r="W59" s="19">
        <f t="shared" si="50"/>
        <v>0.8878228892470913</v>
      </c>
      <c r="X59" s="19">
        <f t="shared" si="51"/>
        <v>1.0010379668270764</v>
      </c>
      <c r="Y59" s="19">
        <f t="shared" si="52"/>
        <v>1.0390959935888318</v>
      </c>
      <c r="Z59" s="19">
        <f t="shared" si="53"/>
        <v>0.15590265665464795</v>
      </c>
      <c r="AA59" s="19">
        <f t="shared" si="54"/>
        <v>0.99988298859649871</v>
      </c>
      <c r="AB59" s="19">
        <f t="shared" si="55"/>
        <v>1.8790580729471182</v>
      </c>
      <c r="AC59" s="19">
        <f t="shared" si="56"/>
        <v>3.2319228617871803E-13</v>
      </c>
      <c r="AD59" s="19">
        <f t="shared" si="57"/>
        <v>3.2319228617868335E-13</v>
      </c>
      <c r="AE59" s="19">
        <f t="shared" si="58"/>
        <v>0.99999999994434052</v>
      </c>
      <c r="AF59" s="19">
        <f t="shared" si="59"/>
        <v>1.8790580729471182</v>
      </c>
      <c r="AG59" s="123">
        <f t="shared" si="60"/>
        <v>3.8834324343990673E-2</v>
      </c>
      <c r="AH59" s="123">
        <f t="shared" si="61"/>
        <v>1.3132338308024089E-5</v>
      </c>
      <c r="AI59" s="123" t="str">
        <f t="shared" si="62"/>
        <v/>
      </c>
      <c r="AJ59" s="123" t="str">
        <f t="shared" si="63"/>
        <v/>
      </c>
      <c r="AK59" s="123" t="str">
        <f t="shared" si="64"/>
        <v/>
      </c>
      <c r="AL59" s="123" t="str">
        <f t="shared" si="65"/>
        <v/>
      </c>
      <c r="AM59" s="123" t="str">
        <f t="shared" si="66"/>
        <v/>
      </c>
      <c r="AN59" s="123" t="str">
        <f t="shared" si="74"/>
        <v/>
      </c>
      <c r="AO59" s="123">
        <f t="shared" si="67"/>
        <v>9.5758027596783525E-13</v>
      </c>
      <c r="AP59" s="123" t="str">
        <f t="shared" si="68"/>
        <v/>
      </c>
      <c r="AQ59" s="131">
        <f t="shared" si="69"/>
        <v>5.650937974713377E-2</v>
      </c>
      <c r="AR59" s="123">
        <f t="shared" si="70"/>
        <v>5.650937974713377E-2</v>
      </c>
      <c r="AS59" s="1002"/>
      <c r="AT59" s="446">
        <v>5.6509379747141389E-2</v>
      </c>
      <c r="AU59" s="132">
        <f t="shared" si="71"/>
        <v>0.81446044204700963</v>
      </c>
      <c r="AV59" s="17"/>
      <c r="AW59" s="125">
        <f t="shared" si="72"/>
        <v>-1.7963273504603805E-2</v>
      </c>
      <c r="AX59" s="16"/>
      <c r="AY59" s="26"/>
      <c r="AZ59" s="1001"/>
      <c r="BA59" s="1001"/>
    </row>
    <row r="60" spans="1:53">
      <c r="A60" s="6">
        <v>10.964314219017979</v>
      </c>
      <c r="B60" s="512">
        <v>5.520561666922843</v>
      </c>
      <c r="C60" s="125">
        <v>5.5227127075195312</v>
      </c>
      <c r="D60" s="124">
        <f t="shared" si="32"/>
        <v>3.715748806667487E-6</v>
      </c>
      <c r="E60" s="124">
        <f t="shared" si="73"/>
        <v>0.26518065047287009</v>
      </c>
      <c r="F60" s="125">
        <f t="shared" si="33"/>
        <v>2.1510405966882473E-3</v>
      </c>
      <c r="G60" s="123">
        <f t="shared" si="34"/>
        <v>5.1973889372587793E-10</v>
      </c>
      <c r="H60" s="123">
        <f t="shared" si="35"/>
        <v>-2.2797782649325304E-5</v>
      </c>
      <c r="I60" s="124">
        <f t="shared" si="36"/>
        <v>7.1094172044976367E-2</v>
      </c>
      <c r="J60" s="124">
        <f t="shared" si="37"/>
        <v>7.1116969827625692E-2</v>
      </c>
      <c r="K60" s="125">
        <f t="shared" si="38"/>
        <v>0.35409517360742337</v>
      </c>
      <c r="L60" s="125">
        <f t="shared" si="39"/>
        <v>0.64590482639257663</v>
      </c>
      <c r="M60" s="123">
        <f t="shared" si="40"/>
        <v>3.8916857280822059</v>
      </c>
      <c r="N60" s="123">
        <f t="shared" si="41"/>
        <v>14696.739262854286</v>
      </c>
      <c r="O60" s="123">
        <f t="shared" si="42"/>
        <v>1025173.7607238503</v>
      </c>
      <c r="P60" s="123">
        <f t="shared" si="43"/>
        <v>1.1399040604233859</v>
      </c>
      <c r="Q60" s="123">
        <f t="shared" si="44"/>
        <v>6517.9793817558966</v>
      </c>
      <c r="R60" s="123">
        <f t="shared" si="45"/>
        <v>223833.61441546094</v>
      </c>
      <c r="S60" s="123">
        <f t="shared" si="46"/>
        <v>1.0000000000002449</v>
      </c>
      <c r="T60" s="123">
        <f t="shared" si="47"/>
        <v>1.0000000000002449</v>
      </c>
      <c r="U60" s="123">
        <f t="shared" si="48"/>
        <v>13609128638.197315</v>
      </c>
      <c r="V60" s="123">
        <f t="shared" si="49"/>
        <v>223833.61441546094</v>
      </c>
      <c r="W60" s="19">
        <f t="shared" si="50"/>
        <v>0.80668055618769485</v>
      </c>
      <c r="X60" s="19">
        <f t="shared" si="51"/>
        <v>1.0007630622783383</v>
      </c>
      <c r="Y60" s="19">
        <f t="shared" si="52"/>
        <v>1.0298973681546866</v>
      </c>
      <c r="Z60" s="19">
        <f t="shared" si="53"/>
        <v>0.12273318894172756</v>
      </c>
      <c r="AA60" s="19">
        <f t="shared" si="54"/>
        <v>0.9998465782198086</v>
      </c>
      <c r="AB60" s="19">
        <f t="shared" si="55"/>
        <v>1.8462857149692704</v>
      </c>
      <c r="AC60" s="19">
        <f t="shared" si="56"/>
        <v>2.4481065867627075E-13</v>
      </c>
      <c r="AD60" s="19">
        <f t="shared" si="57"/>
        <v>2.4481065867625535E-13</v>
      </c>
      <c r="AE60" s="19">
        <f t="shared" si="58"/>
        <v>0.99999999992651989</v>
      </c>
      <c r="AF60" s="19">
        <f t="shared" si="59"/>
        <v>1.8462857149692704</v>
      </c>
      <c r="AG60" s="123">
        <f t="shared" si="60"/>
        <v>4.1108917256790549E-2</v>
      </c>
      <c r="AH60" s="123">
        <f t="shared" si="61"/>
        <v>1.0190595764526473E-5</v>
      </c>
      <c r="AI60" s="123" t="str">
        <f t="shared" si="62"/>
        <v/>
      </c>
      <c r="AJ60" s="123" t="str">
        <f t="shared" si="63"/>
        <v/>
      </c>
      <c r="AK60" s="123" t="str">
        <f t="shared" si="64"/>
        <v/>
      </c>
      <c r="AL60" s="123" t="str">
        <f t="shared" si="65"/>
        <v/>
      </c>
      <c r="AM60" s="123" t="str">
        <f t="shared" si="66"/>
        <v/>
      </c>
      <c r="AN60" s="123" t="str">
        <f t="shared" si="74"/>
        <v/>
      </c>
      <c r="AO60" s="123">
        <f t="shared" si="67"/>
        <v>1.3009472649614375E-12</v>
      </c>
      <c r="AP60" s="123" t="str">
        <f t="shared" si="68"/>
        <v/>
      </c>
      <c r="AQ60" s="131">
        <f t="shared" si="69"/>
        <v>5.9273997842224466E-2</v>
      </c>
      <c r="AR60" s="123">
        <f t="shared" si="70"/>
        <v>5.9273997842224466E-2</v>
      </c>
      <c r="AS60" s="1002"/>
      <c r="AT60" s="446">
        <v>5.9273997842235152E-2</v>
      </c>
      <c r="AU60" s="132">
        <f t="shared" si="71"/>
        <v>0.81169334658469672</v>
      </c>
      <c r="AV60" s="17"/>
      <c r="AW60" s="125">
        <f t="shared" si="72"/>
        <v>2.1510405966882473E-3</v>
      </c>
      <c r="AX60" s="16"/>
      <c r="AY60" s="26"/>
      <c r="AZ60" s="1001"/>
      <c r="BA60" s="1001"/>
    </row>
    <row r="61" spans="1:53">
      <c r="A61" s="6">
        <v>11.448833580652718</v>
      </c>
      <c r="B61" s="512">
        <v>5.6553593662136379</v>
      </c>
      <c r="C61" s="125">
        <v>5.6611404418945313</v>
      </c>
      <c r="D61" s="124">
        <f t="shared" si="32"/>
        <v>2.7347110228546391E-6</v>
      </c>
      <c r="E61" s="124">
        <f t="shared" si="73"/>
        <v>0.26783042457698436</v>
      </c>
      <c r="F61" s="125">
        <f t="shared" si="33"/>
        <v>5.7810756808933661E-3</v>
      </c>
      <c r="G61" s="123">
        <f t="shared" si="34"/>
        <v>3.7887563738480175E-9</v>
      </c>
      <c r="H61" s="123">
        <f t="shared" si="35"/>
        <v>-6.1552874618883702E-5</v>
      </c>
      <c r="I61" s="124">
        <f t="shared" si="36"/>
        <v>6.999885311154623E-2</v>
      </c>
      <c r="J61" s="124">
        <f t="shared" si="37"/>
        <v>7.0060405986165114E-2</v>
      </c>
      <c r="K61" s="125">
        <f t="shared" si="38"/>
        <v>0.36404636602153745</v>
      </c>
      <c r="L61" s="125">
        <f t="shared" si="39"/>
        <v>0.6359536339784625</v>
      </c>
      <c r="M61" s="123">
        <f t="shared" si="40"/>
        <v>3.0309081568858631</v>
      </c>
      <c r="N61" s="123">
        <f t="shared" si="41"/>
        <v>10731.887237412626</v>
      </c>
      <c r="O61" s="123">
        <f t="shared" si="42"/>
        <v>737048.79440224881</v>
      </c>
      <c r="P61" s="123">
        <f t="shared" si="43"/>
        <v>1.1021809241925373</v>
      </c>
      <c r="Q61" s="123">
        <f t="shared" si="44"/>
        <v>4797.3563411564892</v>
      </c>
      <c r="R61" s="123">
        <f t="shared" si="45"/>
        <v>125213.32097255101</v>
      </c>
      <c r="S61" s="123">
        <f t="shared" si="46"/>
        <v>1.0000000000001787</v>
      </c>
      <c r="T61" s="123">
        <f t="shared" si="47"/>
        <v>1.0000000000001787</v>
      </c>
      <c r="U61" s="123">
        <f t="shared" si="48"/>
        <v>9939621034.1255054</v>
      </c>
      <c r="V61" s="123">
        <f t="shared" si="49"/>
        <v>125213.32097255101</v>
      </c>
      <c r="W61" s="19">
        <f t="shared" si="50"/>
        <v>0.71258874019386598</v>
      </c>
      <c r="X61" s="19">
        <f t="shared" si="51"/>
        <v>1.0005186136782851</v>
      </c>
      <c r="Y61" s="19">
        <f t="shared" si="52"/>
        <v>1.022012786981946</v>
      </c>
      <c r="Z61" s="19">
        <f t="shared" si="53"/>
        <v>9.2707941091790827E-2</v>
      </c>
      <c r="AA61" s="19">
        <f t="shared" si="54"/>
        <v>0.99979155186129887</v>
      </c>
      <c r="AB61" s="19">
        <f t="shared" si="55"/>
        <v>1.8008352348082635</v>
      </c>
      <c r="AC61" s="19">
        <f t="shared" si="56"/>
        <v>1.7880095281683052E-13</v>
      </c>
      <c r="AD61" s="19">
        <f t="shared" si="57"/>
        <v>1.7880095281682438E-13</v>
      </c>
      <c r="AE61" s="19">
        <f t="shared" si="58"/>
        <v>0.99999999989939259</v>
      </c>
      <c r="AF61" s="19">
        <f t="shared" si="59"/>
        <v>1.8008352348082635</v>
      </c>
      <c r="AG61" s="123">
        <f t="shared" si="60"/>
        <v>4.3876269514919713E-2</v>
      </c>
      <c r="AH61" s="123">
        <f t="shared" si="61"/>
        <v>7.8668174211129622E-6</v>
      </c>
      <c r="AI61" s="123" t="str">
        <f t="shared" si="62"/>
        <v/>
      </c>
      <c r="AJ61" s="123" t="str">
        <f t="shared" si="63"/>
        <v/>
      </c>
      <c r="AK61" s="123" t="str">
        <f t="shared" si="64"/>
        <v/>
      </c>
      <c r="AL61" s="123" t="str">
        <f t="shared" si="65"/>
        <v/>
      </c>
      <c r="AM61" s="123" t="str">
        <f t="shared" si="66"/>
        <v/>
      </c>
      <c r="AN61" s="123" t="str">
        <f t="shared" si="74"/>
        <v/>
      </c>
      <c r="AO61" s="123">
        <f t="shared" si="67"/>
        <v>1.8312889634909836E-12</v>
      </c>
      <c r="AP61" s="123" t="str">
        <f t="shared" si="68"/>
        <v/>
      </c>
      <c r="AQ61" s="131">
        <f t="shared" si="69"/>
        <v>6.2529189849789446E-2</v>
      </c>
      <c r="AR61" s="123">
        <f t="shared" si="70"/>
        <v>6.2529189849789446E-2</v>
      </c>
      <c r="AS61" s="1002"/>
      <c r="AT61" s="446">
        <v>6.2529189849802727E-2</v>
      </c>
      <c r="AU61" s="132">
        <f t="shared" si="71"/>
        <v>0.80859153901559333</v>
      </c>
      <c r="AV61" s="17"/>
      <c r="AW61" s="125">
        <f t="shared" si="72"/>
        <v>5.7810756808933661E-3</v>
      </c>
      <c r="AX61" s="16"/>
      <c r="AY61" s="26"/>
      <c r="AZ61" s="1001"/>
      <c r="BA61" s="1001"/>
    </row>
    <row r="62" spans="1:53">
      <c r="A62" s="6">
        <v>11.939793326018844</v>
      </c>
      <c r="B62" s="512">
        <v>5.7817578076145644</v>
      </c>
      <c r="C62" s="125">
        <v>5.8000106811523437</v>
      </c>
      <c r="D62" s="124">
        <f t="shared" si="32"/>
        <v>2.0512444177463174E-6</v>
      </c>
      <c r="E62" s="124">
        <f t="shared" si="73"/>
        <v>0.26326115232568381</v>
      </c>
      <c r="F62" s="125">
        <f t="shared" si="33"/>
        <v>1.8252873537779379E-2</v>
      </c>
      <c r="G62" s="123">
        <f t="shared" si="34"/>
        <v>3.6987117084264174E-8</v>
      </c>
      <c r="H62" s="123">
        <f t="shared" si="35"/>
        <v>-1.9232035015635807E-4</v>
      </c>
      <c r="I62" s="124">
        <f t="shared" si="36"/>
        <v>6.8922871850528825E-2</v>
      </c>
      <c r="J62" s="124">
        <f t="shared" si="37"/>
        <v>6.9115192200685183E-2</v>
      </c>
      <c r="K62" s="125">
        <f t="shared" si="38"/>
        <v>0.37382187179941551</v>
      </c>
      <c r="L62" s="125">
        <f t="shared" si="39"/>
        <v>0.62617812820058449</v>
      </c>
      <c r="M62" s="123">
        <f t="shared" si="40"/>
        <v>2.4673786088853302</v>
      </c>
      <c r="N62" s="123">
        <f t="shared" si="41"/>
        <v>7993.2003434909866</v>
      </c>
      <c r="O62" s="123">
        <f t="shared" si="42"/>
        <v>542174.35048945143</v>
      </c>
      <c r="P62" s="123">
        <f t="shared" si="43"/>
        <v>1.0761144252996784</v>
      </c>
      <c r="Q62" s="123">
        <f t="shared" si="44"/>
        <v>3598.6375887970216</v>
      </c>
      <c r="R62" s="123">
        <f t="shared" si="45"/>
        <v>73704.125496434455</v>
      </c>
      <c r="S62" s="123">
        <f t="shared" si="46"/>
        <v>1.0000000000001332</v>
      </c>
      <c r="T62" s="123">
        <f t="shared" si="47"/>
        <v>1.0000000000001332</v>
      </c>
      <c r="U62" s="123">
        <f t="shared" si="48"/>
        <v>7404009590.9641161</v>
      </c>
      <c r="V62" s="123">
        <f t="shared" si="49"/>
        <v>73704.125496434455</v>
      </c>
      <c r="W62" s="19">
        <f t="shared" si="50"/>
        <v>0.62306446885960176</v>
      </c>
      <c r="X62" s="19">
        <f t="shared" si="51"/>
        <v>1.0003338418813823</v>
      </c>
      <c r="Y62" s="19">
        <f t="shared" si="52"/>
        <v>1.0164890623944436</v>
      </c>
      <c r="Z62" s="19">
        <f t="shared" si="53"/>
        <v>7.0730791735722554E-2</v>
      </c>
      <c r="AA62" s="19">
        <f t="shared" si="54"/>
        <v>0.99972211705810188</v>
      </c>
      <c r="AB62" s="19">
        <f t="shared" si="55"/>
        <v>1.7496936775748189</v>
      </c>
      <c r="AC62" s="19">
        <f t="shared" si="56"/>
        <v>1.3318857561360037E-13</v>
      </c>
      <c r="AD62" s="19">
        <f t="shared" si="57"/>
        <v>1.3318857561359777E-13</v>
      </c>
      <c r="AE62" s="19">
        <f t="shared" si="58"/>
        <v>0.99999999986493804</v>
      </c>
      <c r="AF62" s="19">
        <f t="shared" si="59"/>
        <v>1.7496936775748189</v>
      </c>
      <c r="AG62" s="123">
        <f t="shared" si="60"/>
        <v>4.6481132240996655E-2</v>
      </c>
      <c r="AH62" s="123">
        <f t="shared" si="61"/>
        <v>6.4172906086196573E-6</v>
      </c>
      <c r="AI62" s="123" t="str">
        <f t="shared" si="62"/>
        <v/>
      </c>
      <c r="AJ62" s="123" t="str">
        <f t="shared" si="63"/>
        <v/>
      </c>
      <c r="AK62" s="123" t="str">
        <f t="shared" si="64"/>
        <v/>
      </c>
      <c r="AL62" s="123" t="str">
        <f t="shared" si="65"/>
        <v/>
      </c>
      <c r="AM62" s="123" t="str">
        <f t="shared" si="66"/>
        <v/>
      </c>
      <c r="AN62" s="123" t="str">
        <f t="shared" si="74"/>
        <v/>
      </c>
      <c r="AO62" s="123">
        <f t="shared" si="67"/>
        <v>2.5244556156142023E-12</v>
      </c>
      <c r="AP62" s="123" t="str">
        <f t="shared" si="68"/>
        <v/>
      </c>
      <c r="AQ62" s="131">
        <f t="shared" si="69"/>
        <v>6.5614253166011438E-2</v>
      </c>
      <c r="AR62" s="123">
        <f t="shared" si="70"/>
        <v>6.5614253166011438E-2</v>
      </c>
      <c r="AS62" s="1002"/>
      <c r="AT62" s="446">
        <v>6.5614253166023984E-2</v>
      </c>
      <c r="AU62" s="132">
        <f t="shared" si="71"/>
        <v>0.80579539329216987</v>
      </c>
      <c r="AV62" s="17"/>
      <c r="AW62" s="125">
        <f t="shared" si="72"/>
        <v>1.8252873537779379E-2</v>
      </c>
      <c r="AX62" s="16"/>
      <c r="AY62" s="26"/>
      <c r="AZ62" s="1001"/>
      <c r="BA62" s="1001"/>
    </row>
    <row r="63" spans="1:53">
      <c r="A63" s="6">
        <v>12.423383911664132</v>
      </c>
      <c r="B63" s="512">
        <v>5.9118777988780709</v>
      </c>
      <c r="C63" s="125">
        <v>5.9385147094726562</v>
      </c>
      <c r="D63" s="124">
        <f t="shared" si="32"/>
        <v>1.5253056680624903E-6</v>
      </c>
      <c r="E63" s="124">
        <f t="shared" si="73"/>
        <v>0.2937350436623728</v>
      </c>
      <c r="F63" s="125">
        <f t="shared" si="33"/>
        <v>2.6636910594585395E-2</v>
      </c>
      <c r="G63" s="123">
        <f t="shared" si="34"/>
        <v>7.2609211226006386E-8</v>
      </c>
      <c r="H63" s="123">
        <f t="shared" si="35"/>
        <v>-2.6946096419705468E-4</v>
      </c>
      <c r="I63" s="124">
        <f t="shared" si="36"/>
        <v>6.7894896113839545E-2</v>
      </c>
      <c r="J63" s="124">
        <f t="shared" si="37"/>
        <v>6.81643570780366E-2</v>
      </c>
      <c r="K63" s="125">
        <f t="shared" si="38"/>
        <v>0.38316123775084709</v>
      </c>
      <c r="L63" s="125">
        <f t="shared" si="39"/>
        <v>0.61683876224915291</v>
      </c>
      <c r="M63" s="123">
        <f t="shared" si="40"/>
        <v>2.0557911589335416</v>
      </c>
      <c r="N63" s="123">
        <f t="shared" si="41"/>
        <v>5903.4972421725888</v>
      </c>
      <c r="O63" s="123">
        <f t="shared" si="42"/>
        <v>396063.52335141628</v>
      </c>
      <c r="P63" s="123">
        <f t="shared" si="43"/>
        <v>1.0562195698171346</v>
      </c>
      <c r="Q63" s="123">
        <f t="shared" si="44"/>
        <v>2676.2038705635227</v>
      </c>
      <c r="R63" s="123">
        <f t="shared" si="45"/>
        <v>43478.464365198291</v>
      </c>
      <c r="S63" s="123">
        <f t="shared" si="46"/>
        <v>1.0000000000000984</v>
      </c>
      <c r="T63" s="123">
        <f t="shared" si="47"/>
        <v>1.0000000000000984</v>
      </c>
      <c r="U63" s="123">
        <f t="shared" si="48"/>
        <v>5468743047.1552906</v>
      </c>
      <c r="V63" s="123">
        <f t="shared" si="49"/>
        <v>43478.464365198291</v>
      </c>
      <c r="W63" s="19">
        <f t="shared" si="50"/>
        <v>0.53174675224830459</v>
      </c>
      <c r="X63" s="19">
        <f t="shared" si="51"/>
        <v>1.0001719078987428</v>
      </c>
      <c r="Y63" s="19">
        <f t="shared" si="52"/>
        <v>1.0122306962119838</v>
      </c>
      <c r="Z63" s="19">
        <f t="shared" si="53"/>
        <v>5.3227161684637272E-2</v>
      </c>
      <c r="AA63" s="19">
        <f t="shared" si="54"/>
        <v>0.99962633638976484</v>
      </c>
      <c r="AB63" s="19">
        <f t="shared" si="55"/>
        <v>1.6886792054053674</v>
      </c>
      <c r="AC63" s="19">
        <f t="shared" si="56"/>
        <v>9.8375628380512925E-14</v>
      </c>
      <c r="AD63" s="19">
        <f t="shared" si="57"/>
        <v>9.8375628380511864E-14</v>
      </c>
      <c r="AE63" s="19">
        <f t="shared" si="58"/>
        <v>0.9999999998171426</v>
      </c>
      <c r="AF63" s="19">
        <f t="shared" si="59"/>
        <v>1.6886792054053674</v>
      </c>
      <c r="AG63" s="123">
        <f t="shared" si="60"/>
        <v>4.9149315713373158E-2</v>
      </c>
      <c r="AH63" s="123">
        <f t="shared" si="61"/>
        <v>5.5275098638226383E-6</v>
      </c>
      <c r="AI63" s="123" t="str">
        <f t="shared" si="62"/>
        <v/>
      </c>
      <c r="AJ63" s="123" t="str">
        <f t="shared" si="63"/>
        <v/>
      </c>
      <c r="AK63" s="123" t="str">
        <f t="shared" si="64"/>
        <v/>
      </c>
      <c r="AL63" s="123" t="str">
        <f t="shared" si="65"/>
        <v/>
      </c>
      <c r="AM63" s="123" t="str">
        <f t="shared" si="66"/>
        <v/>
      </c>
      <c r="AN63" s="123" t="str">
        <f t="shared" si="74"/>
        <v/>
      </c>
      <c r="AO63" s="123">
        <f t="shared" si="67"/>
        <v>3.5031929133163281E-12</v>
      </c>
      <c r="AP63" s="123" t="str">
        <f t="shared" si="68"/>
        <v/>
      </c>
      <c r="AQ63" s="131">
        <f t="shared" si="69"/>
        <v>6.8741771810955685E-2</v>
      </c>
      <c r="AR63" s="123">
        <f t="shared" si="70"/>
        <v>6.8741771810955685E-2</v>
      </c>
      <c r="AS63" s="1002"/>
      <c r="AT63" s="446">
        <v>6.8741771810964442E-2</v>
      </c>
      <c r="AU63" s="132">
        <f t="shared" si="71"/>
        <v>0.80309203200641033</v>
      </c>
      <c r="AV63" s="17"/>
      <c r="AW63" s="125">
        <f t="shared" si="72"/>
        <v>2.6636910594585395E-2</v>
      </c>
      <c r="AX63" s="16"/>
      <c r="AY63" s="26"/>
      <c r="AZ63" s="1001"/>
      <c r="BA63" s="1001"/>
    </row>
    <row r="64" spans="1:53">
      <c r="A64" s="6">
        <v>12.881495391775388</v>
      </c>
      <c r="B64" s="512">
        <v>6.0577402761172214</v>
      </c>
      <c r="C64" s="125">
        <v>6.0759658813476562</v>
      </c>
      <c r="D64" s="124">
        <f t="shared" si="32"/>
        <v>1.0939165285352656E-6</v>
      </c>
      <c r="E64" s="124">
        <f t="shared" si="73"/>
        <v>0.30274812245743393</v>
      </c>
      <c r="F64" s="125">
        <f t="shared" si="33"/>
        <v>1.8225605230434816E-2</v>
      </c>
      <c r="G64" s="123">
        <f t="shared" si="34"/>
        <v>2.8854860231211961E-8</v>
      </c>
      <c r="H64" s="123">
        <f t="shared" si="35"/>
        <v>-1.6986718409160717E-4</v>
      </c>
      <c r="I64" s="124">
        <f t="shared" si="36"/>
        <v>6.6948971028008702E-2</v>
      </c>
      <c r="J64" s="124">
        <f t="shared" si="37"/>
        <v>6.711883821210031E-2</v>
      </c>
      <c r="K64" s="125">
        <f t="shared" si="38"/>
        <v>0.3917551570661662</v>
      </c>
      <c r="L64" s="125">
        <f t="shared" si="39"/>
        <v>0.60824484293383374</v>
      </c>
      <c r="M64" s="123">
        <f t="shared" si="40"/>
        <v>1.7340867335655692</v>
      </c>
      <c r="N64" s="123">
        <f t="shared" si="41"/>
        <v>4204.7957615716159</v>
      </c>
      <c r="O64" s="123">
        <f t="shared" si="42"/>
        <v>279191.48237297451</v>
      </c>
      <c r="P64" s="123">
        <f t="shared" si="43"/>
        <v>1.0400437981373678</v>
      </c>
      <c r="Q64" s="123">
        <f t="shared" si="44"/>
        <v>1919.5988700404284</v>
      </c>
      <c r="R64" s="123">
        <f t="shared" si="45"/>
        <v>24662.494082725098</v>
      </c>
      <c r="S64" s="123">
        <f t="shared" si="46"/>
        <v>1.0000000000000702</v>
      </c>
      <c r="T64" s="123">
        <f t="shared" si="47"/>
        <v>1.0000000000000702</v>
      </c>
      <c r="U64" s="123">
        <f t="shared" si="48"/>
        <v>3895249347.7609658</v>
      </c>
      <c r="V64" s="123">
        <f t="shared" si="49"/>
        <v>24662.494082725098</v>
      </c>
      <c r="W64" s="19">
        <f t="shared" si="50"/>
        <v>0.43402968628058453</v>
      </c>
      <c r="X64" s="19">
        <f t="shared" si="51"/>
        <v>1.0000069555378246</v>
      </c>
      <c r="Y64" s="19">
        <f t="shared" si="52"/>
        <v>1.008740605320515</v>
      </c>
      <c r="Z64" s="19">
        <f t="shared" si="53"/>
        <v>3.8502030596291141E-2</v>
      </c>
      <c r="AA64" s="19">
        <f t="shared" si="54"/>
        <v>0.99947905783046276</v>
      </c>
      <c r="AB64" s="19">
        <f t="shared" si="55"/>
        <v>1.6117244316066388</v>
      </c>
      <c r="AC64" s="19">
        <f t="shared" si="56"/>
        <v>7.0070507723925235E-14</v>
      </c>
      <c r="AD64" s="19">
        <f t="shared" si="57"/>
        <v>7.0070507723924843E-14</v>
      </c>
      <c r="AE64" s="19">
        <f t="shared" si="58"/>
        <v>0.99999999974327702</v>
      </c>
      <c r="AF64" s="19">
        <f t="shared" si="59"/>
        <v>1.6117244316066388</v>
      </c>
      <c r="AG64" s="123">
        <f t="shared" si="60"/>
        <v>5.2063543992103764E-2</v>
      </c>
      <c r="AH64" s="123">
        <f t="shared" si="61"/>
        <v>5.1507297074596373E-6</v>
      </c>
      <c r="AI64" s="123" t="str">
        <f t="shared" si="62"/>
        <v/>
      </c>
      <c r="AJ64" s="123" t="str">
        <f t="shared" si="63"/>
        <v/>
      </c>
      <c r="AK64" s="123" t="str">
        <f t="shared" si="64"/>
        <v/>
      </c>
      <c r="AL64" s="123" t="str">
        <f t="shared" si="65"/>
        <v/>
      </c>
      <c r="AM64" s="123" t="str">
        <f t="shared" si="66"/>
        <v/>
      </c>
      <c r="AN64" s="123" t="str">
        <f t="shared" si="74"/>
        <v/>
      </c>
      <c r="AO64" s="123">
        <f t="shared" si="67"/>
        <v>5.0286274650344474E-12</v>
      </c>
      <c r="AP64" s="123" t="str">
        <f t="shared" si="68"/>
        <v/>
      </c>
      <c r="AQ64" s="131">
        <f t="shared" si="69"/>
        <v>7.207914129145461E-2</v>
      </c>
      <c r="AR64" s="123">
        <f t="shared" si="70"/>
        <v>7.207914129145461E-2</v>
      </c>
      <c r="AS64" s="1002"/>
      <c r="AT64" s="446">
        <v>7.207914129145862E-2</v>
      </c>
      <c r="AU64" s="132">
        <f t="shared" si="71"/>
        <v>0.80034187342791308</v>
      </c>
      <c r="AV64" s="17"/>
      <c r="AW64" s="125">
        <f t="shared" si="72"/>
        <v>1.8225605230434816E-2</v>
      </c>
      <c r="AX64" s="16"/>
      <c r="AY64" s="26"/>
      <c r="AZ64" s="1001"/>
      <c r="BA64" s="1001"/>
    </row>
    <row r="65" spans="1:53">
      <c r="A65" s="6">
        <v>13.297209756274242</v>
      </c>
      <c r="B65" s="512">
        <v>6.1770905069722941</v>
      </c>
      <c r="C65" s="125">
        <v>6.2145309448242188</v>
      </c>
      <c r="D65" s="124">
        <f t="shared" si="32"/>
        <v>8.3305379102955827E-7</v>
      </c>
      <c r="E65" s="124">
        <f t="shared" si="73"/>
        <v>0.47219089696073652</v>
      </c>
      <c r="F65" s="125">
        <f t="shared" si="33"/>
        <v>3.7440437851924635E-2</v>
      </c>
      <c r="G65" s="123">
        <f t="shared" si="34"/>
        <v>9.7172075621892436E-8</v>
      </c>
      <c r="H65" s="123">
        <f t="shared" si="35"/>
        <v>-3.1172435840320922E-4</v>
      </c>
      <c r="I65" s="124">
        <f t="shared" si="36"/>
        <v>6.6113115737175626E-2</v>
      </c>
      <c r="J65" s="124">
        <f t="shared" si="37"/>
        <v>6.6424840095578835E-2</v>
      </c>
      <c r="K65" s="125">
        <f t="shared" si="38"/>
        <v>0.39934907019554783</v>
      </c>
      <c r="L65" s="125">
        <f t="shared" si="39"/>
        <v>0.60065092980445223</v>
      </c>
      <c r="M65" s="123">
        <f t="shared" si="40"/>
        <v>1.5476411527380731</v>
      </c>
      <c r="N65" s="123">
        <f t="shared" si="41"/>
        <v>3186.8617684820201</v>
      </c>
      <c r="O65" s="123">
        <f t="shared" si="42"/>
        <v>210142.93649593068</v>
      </c>
      <c r="P65" s="123">
        <f t="shared" si="43"/>
        <v>1.030349108687896</v>
      </c>
      <c r="Q65" s="123">
        <f t="shared" si="44"/>
        <v>1462.0768010721031</v>
      </c>
      <c r="R65" s="123">
        <f t="shared" si="45"/>
        <v>15847.470038719046</v>
      </c>
      <c r="S65" s="123">
        <f t="shared" si="46"/>
        <v>1.0000000000000531</v>
      </c>
      <c r="T65" s="123">
        <f t="shared" si="47"/>
        <v>1.0000000000000531</v>
      </c>
      <c r="U65" s="123">
        <f t="shared" si="48"/>
        <v>2952201123.0256052</v>
      </c>
      <c r="V65" s="123">
        <f t="shared" si="49"/>
        <v>15847.470038719046</v>
      </c>
      <c r="W65" s="19">
        <f t="shared" si="50"/>
        <v>0.36064209216796644</v>
      </c>
      <c r="X65" s="19">
        <f t="shared" si="51"/>
        <v>0.99987261590861476</v>
      </c>
      <c r="Y65" s="19">
        <f t="shared" si="52"/>
        <v>1.0066364936609902</v>
      </c>
      <c r="Z65" s="19">
        <f t="shared" si="53"/>
        <v>2.9455170516471008E-2</v>
      </c>
      <c r="AA65" s="19">
        <f t="shared" si="54"/>
        <v>0.99931604140133634</v>
      </c>
      <c r="AB65" s="19">
        <f t="shared" si="55"/>
        <v>1.5441949197498164</v>
      </c>
      <c r="AC65" s="19">
        <f t="shared" si="56"/>
        <v>5.3106287428702546E-14</v>
      </c>
      <c r="AD65" s="19">
        <f t="shared" si="57"/>
        <v>5.3106287428702376E-14</v>
      </c>
      <c r="AE65" s="19">
        <f t="shared" si="58"/>
        <v>0.99999999966126973</v>
      </c>
      <c r="AF65" s="19">
        <f t="shared" si="59"/>
        <v>1.5441949197498164</v>
      </c>
      <c r="AG65" s="123">
        <f t="shared" si="60"/>
        <v>5.4108276240808752E-2</v>
      </c>
      <c r="AH65" s="123">
        <f t="shared" si="61"/>
        <v>5.2718102649001038E-6</v>
      </c>
      <c r="AI65" s="123" t="str">
        <f t="shared" si="62"/>
        <v/>
      </c>
      <c r="AJ65" s="123" t="str">
        <f t="shared" si="63"/>
        <v/>
      </c>
      <c r="AK65" s="123" t="str">
        <f t="shared" si="64"/>
        <v/>
      </c>
      <c r="AL65" s="123" t="str">
        <f t="shared" si="65"/>
        <v/>
      </c>
      <c r="AM65" s="123" t="str">
        <f t="shared" si="66"/>
        <v/>
      </c>
      <c r="AN65" s="123" t="str">
        <f t="shared" si="74"/>
        <v/>
      </c>
      <c r="AO65" s="123">
        <f t="shared" si="67"/>
        <v>6.7635817065584832E-12</v>
      </c>
      <c r="AP65" s="123" t="str">
        <f t="shared" si="68"/>
        <v/>
      </c>
      <c r="AQ65" s="131">
        <f t="shared" si="69"/>
        <v>7.449829180964633E-2</v>
      </c>
      <c r="AR65" s="123">
        <f t="shared" si="70"/>
        <v>7.449829180964633E-2</v>
      </c>
      <c r="AS65" s="1002"/>
      <c r="AT65" s="446">
        <v>7.4498291809647899E-2</v>
      </c>
      <c r="AU65" s="132">
        <f t="shared" si="71"/>
        <v>0.79842926696975713</v>
      </c>
      <c r="AV65" s="17"/>
      <c r="AW65" s="125">
        <f t="shared" si="72"/>
        <v>3.7440437851924635E-2</v>
      </c>
      <c r="AX65" s="16"/>
      <c r="AY65" s="26"/>
      <c r="AZ65" s="1001"/>
      <c r="BA65" s="1001"/>
    </row>
    <row r="66" spans="1:53">
      <c r="A66" s="6">
        <v>13.659096746414434</v>
      </c>
      <c r="B66" s="512">
        <v>6.4149534237326344</v>
      </c>
      <c r="C66" s="125">
        <v>6.3485183715820313</v>
      </c>
      <c r="D66" s="124">
        <f t="shared" si="32"/>
        <v>4.8367061908582483E-7</v>
      </c>
      <c r="E66" s="124">
        <f t="shared" si="73"/>
        <v>0.43065655041766648</v>
      </c>
      <c r="F66" s="125">
        <f t="shared" si="33"/>
        <v>-6.6435052150603191E-2</v>
      </c>
      <c r="G66" s="123">
        <f t="shared" si="34"/>
        <v>1.9739375194053149E-7</v>
      </c>
      <c r="H66" s="123">
        <f t="shared" si="35"/>
        <v>4.4429016637838326E-4</v>
      </c>
      <c r="I66" s="124">
        <f t="shared" si="36"/>
        <v>6.5402298193758771E-2</v>
      </c>
      <c r="J66" s="124">
        <f t="shared" si="37"/>
        <v>6.4958008027380387E-2</v>
      </c>
      <c r="K66" s="125">
        <f t="shared" si="38"/>
        <v>0.40580699028619899</v>
      </c>
      <c r="L66" s="125">
        <f t="shared" si="39"/>
        <v>0.59419300971380107</v>
      </c>
      <c r="M66" s="123">
        <f t="shared" si="40"/>
        <v>1.3078586580950413</v>
      </c>
      <c r="N66" s="123">
        <f t="shared" si="41"/>
        <v>1835.8073402779485</v>
      </c>
      <c r="O66" s="123">
        <f t="shared" si="42"/>
        <v>119731.921676699</v>
      </c>
      <c r="P66" s="123">
        <f t="shared" si="43"/>
        <v>1.0174800812058387</v>
      </c>
      <c r="Q66" s="123">
        <f t="shared" si="44"/>
        <v>849.30046812836167</v>
      </c>
      <c r="R66" s="123">
        <f t="shared" si="45"/>
        <v>6965.5216024124438</v>
      </c>
      <c r="S66" s="123">
        <f t="shared" si="46"/>
        <v>1.0000000000000306</v>
      </c>
      <c r="T66" s="123">
        <f t="shared" si="47"/>
        <v>1.0000000000000306</v>
      </c>
      <c r="U66" s="123">
        <f t="shared" si="48"/>
        <v>1700370047.4375329</v>
      </c>
      <c r="V66" s="123">
        <f t="shared" si="49"/>
        <v>6965.5216024124438</v>
      </c>
      <c r="W66" s="19">
        <f t="shared" si="50"/>
        <v>0.23799072766944498</v>
      </c>
      <c r="X66" s="19">
        <f t="shared" si="51"/>
        <v>0.99956349019527357</v>
      </c>
      <c r="Y66" s="19">
        <f t="shared" si="52"/>
        <v>1.0038275780498829</v>
      </c>
      <c r="Z66" s="19">
        <f t="shared" si="53"/>
        <v>1.7179777303475575E-2</v>
      </c>
      <c r="AA66" s="19">
        <f t="shared" si="54"/>
        <v>0.99882256040408912</v>
      </c>
      <c r="AB66" s="19">
        <f t="shared" si="55"/>
        <v>1.4073558487480395</v>
      </c>
      <c r="AC66" s="19">
        <f t="shared" si="56"/>
        <v>3.058746224451428E-14</v>
      </c>
      <c r="AD66" s="19">
        <f t="shared" si="57"/>
        <v>3.0587462244514248E-14</v>
      </c>
      <c r="AE66" s="19">
        <f t="shared" si="58"/>
        <v>0.99999999941189277</v>
      </c>
      <c r="AF66" s="19">
        <f t="shared" si="59"/>
        <v>1.4073558487480395</v>
      </c>
      <c r="AG66" s="123">
        <f t="shared" si="60"/>
        <v>5.8016842986040276E-2</v>
      </c>
      <c r="AH66" s="123">
        <f t="shared" si="61"/>
        <v>6.8075993126143436E-6</v>
      </c>
      <c r="AI66" s="123" t="str">
        <f t="shared" si="62"/>
        <v/>
      </c>
      <c r="AJ66" s="123" t="str">
        <f t="shared" si="63"/>
        <v/>
      </c>
      <c r="AK66" s="123" t="str">
        <f t="shared" si="64"/>
        <v/>
      </c>
      <c r="AL66" s="123" t="str">
        <f t="shared" si="65"/>
        <v/>
      </c>
      <c r="AM66" s="123" t="str">
        <f t="shared" si="66"/>
        <v/>
      </c>
      <c r="AN66" s="123" t="str">
        <f t="shared" si="74"/>
        <v/>
      </c>
      <c r="AO66" s="123">
        <f t="shared" si="67"/>
        <v>1.1932902220247657E-11</v>
      </c>
      <c r="AP66" s="123" t="str">
        <f t="shared" si="68"/>
        <v/>
      </c>
      <c r="AQ66" s="131">
        <f t="shared" si="69"/>
        <v>7.8726640711172316E-2</v>
      </c>
      <c r="AR66" s="123">
        <f t="shared" si="70"/>
        <v>7.8726640711172316E-2</v>
      </c>
      <c r="AS66" s="1002"/>
      <c r="AT66" s="446">
        <v>7.8726640711172455E-2</v>
      </c>
      <c r="AU66" s="132">
        <f t="shared" si="71"/>
        <v>0.79523753343702797</v>
      </c>
      <c r="AV66" s="17"/>
      <c r="AW66" s="125">
        <f t="shared" si="72"/>
        <v>-6.6435052150603191E-2</v>
      </c>
      <c r="AX66" s="16"/>
      <c r="AY66" s="26"/>
      <c r="AZ66" s="1001"/>
      <c r="BA66" s="1001"/>
    </row>
    <row r="67" spans="1:53">
      <c r="A67" s="6">
        <v>13.962769800855312</v>
      </c>
      <c r="B67" s="512">
        <v>6.4769112381131961</v>
      </c>
      <c r="C67" s="125">
        <v>6.4887008666992187</v>
      </c>
      <c r="D67" s="124">
        <f t="shared" si="32"/>
        <v>4.1963201318640856E-7</v>
      </c>
      <c r="E67" s="124">
        <f t="shared" si="73"/>
        <v>0.40620512125552644</v>
      </c>
      <c r="F67" s="125">
        <f t="shared" si="33"/>
        <v>1.1789628586022616E-2</v>
      </c>
      <c r="G67" s="123">
        <f t="shared" si="34"/>
        <v>4.6419816564097087E-9</v>
      </c>
      <c r="H67" s="123">
        <f t="shared" si="35"/>
        <v>-6.8132089769870618E-5</v>
      </c>
      <c r="I67" s="124">
        <f t="shared" si="36"/>
        <v>6.4817513272611024E-2</v>
      </c>
      <c r="J67" s="124">
        <f t="shared" si="37"/>
        <v>6.4885645362380895E-2</v>
      </c>
      <c r="K67" s="125">
        <f t="shared" si="38"/>
        <v>0.41111987870034311</v>
      </c>
      <c r="L67" s="125">
        <f t="shared" si="39"/>
        <v>0.58888012129965683</v>
      </c>
      <c r="M67" s="123">
        <f t="shared" si="40"/>
        <v>1.2656831168473606</v>
      </c>
      <c r="N67" s="123">
        <f t="shared" si="41"/>
        <v>1590.8264153835332</v>
      </c>
      <c r="O67" s="123">
        <f t="shared" si="42"/>
        <v>103561.91539474028</v>
      </c>
      <c r="P67" s="123">
        <f t="shared" si="43"/>
        <v>1.0151463821901068</v>
      </c>
      <c r="Q67" s="123">
        <f t="shared" si="44"/>
        <v>736.98440587624668</v>
      </c>
      <c r="R67" s="123">
        <f t="shared" si="45"/>
        <v>5700.089720804207</v>
      </c>
      <c r="S67" s="123">
        <f t="shared" si="46"/>
        <v>1.0000000000000264</v>
      </c>
      <c r="T67" s="123">
        <f t="shared" si="47"/>
        <v>1.0000000000000264</v>
      </c>
      <c r="U67" s="123">
        <f t="shared" si="48"/>
        <v>1473360123.5691209</v>
      </c>
      <c r="V67" s="123">
        <f t="shared" si="49"/>
        <v>5700.089720804207</v>
      </c>
      <c r="W67" s="19">
        <f t="shared" si="50"/>
        <v>0.2119215590309747</v>
      </c>
      <c r="X67" s="19">
        <f t="shared" si="51"/>
        <v>0.99946527193769086</v>
      </c>
      <c r="Y67" s="19">
        <f t="shared" si="52"/>
        <v>1.0033158523234815</v>
      </c>
      <c r="Z67" s="19">
        <f t="shared" si="53"/>
        <v>1.4920392227010177E-2</v>
      </c>
      <c r="AA67" s="19">
        <f t="shared" si="54"/>
        <v>0.9986431191867472</v>
      </c>
      <c r="AB67" s="19">
        <f t="shared" si="55"/>
        <v>1.3732263833629443</v>
      </c>
      <c r="AC67" s="19">
        <f t="shared" si="56"/>
        <v>2.6503846742244854E-14</v>
      </c>
      <c r="AD67" s="19">
        <f t="shared" si="57"/>
        <v>2.6503846742244832E-14</v>
      </c>
      <c r="AE67" s="19">
        <f t="shared" si="58"/>
        <v>0.99999999932127936</v>
      </c>
      <c r="AF67" s="19">
        <f t="shared" si="59"/>
        <v>1.3732263833629443</v>
      </c>
      <c r="AG67" s="123">
        <f t="shared" si="60"/>
        <v>5.8448374794994505E-2</v>
      </c>
      <c r="AH67" s="123">
        <f t="shared" si="61"/>
        <v>7.4654020390200459E-6</v>
      </c>
      <c r="AI67" s="123" t="str">
        <f t="shared" si="62"/>
        <v/>
      </c>
      <c r="AJ67" s="123" t="str">
        <f t="shared" si="63"/>
        <v/>
      </c>
      <c r="AK67" s="123" t="str">
        <f t="shared" si="64"/>
        <v/>
      </c>
      <c r="AL67" s="123" t="str">
        <f t="shared" si="65"/>
        <v/>
      </c>
      <c r="AM67" s="123" t="str">
        <f t="shared" si="66"/>
        <v/>
      </c>
      <c r="AN67" s="123" t="str">
        <f t="shared" si="74"/>
        <v/>
      </c>
      <c r="AO67" s="123">
        <f t="shared" si="67"/>
        <v>1.3951778391573115E-11</v>
      </c>
      <c r="AP67" s="123" t="str">
        <f t="shared" si="68"/>
        <v/>
      </c>
      <c r="AQ67" s="131">
        <f t="shared" si="69"/>
        <v>7.9420758007669123E-2</v>
      </c>
      <c r="AR67" s="123">
        <f t="shared" si="70"/>
        <v>7.9420758007669123E-2</v>
      </c>
      <c r="AS67" s="1002"/>
      <c r="AT67" s="446">
        <v>7.9420758007669179E-2</v>
      </c>
      <c r="AU67" s="132">
        <f t="shared" si="71"/>
        <v>0.794730991767851</v>
      </c>
      <c r="AV67" s="17"/>
      <c r="AW67" s="125">
        <f t="shared" si="72"/>
        <v>1.1789628586022616E-2</v>
      </c>
      <c r="AX67" s="16"/>
      <c r="AY67" s="26"/>
      <c r="AZ67" s="1001"/>
      <c r="BA67" s="1001"/>
    </row>
    <row r="68" spans="1:53">
      <c r="A68" s="6">
        <v>14.210002183972392</v>
      </c>
      <c r="B68" s="512">
        <v>6.6273230229128508</v>
      </c>
      <c r="C68" s="125">
        <v>6.6259994506835937</v>
      </c>
      <c r="D68" s="124">
        <f t="shared" si="32"/>
        <v>2.9726554555903428E-7</v>
      </c>
      <c r="E68" s="124">
        <f t="shared" si="73"/>
        <v>0.68177706441362218</v>
      </c>
      <c r="F68" s="125">
        <f t="shared" si="33"/>
        <v>-1.3235722292570529E-3</v>
      </c>
      <c r="G68" s="123">
        <f t="shared" si="34"/>
        <v>3.6916304990315059E-11</v>
      </c>
      <c r="H68" s="123">
        <f t="shared" si="35"/>
        <v>6.0758789479642417E-6</v>
      </c>
      <c r="I68" s="124">
        <f t="shared" si="36"/>
        <v>6.4349083361734907E-2</v>
      </c>
      <c r="J68" s="124">
        <f t="shared" si="37"/>
        <v>6.4343007482786943E-2</v>
      </c>
      <c r="K68" s="125">
        <f t="shared" si="38"/>
        <v>0.41537565848592289</v>
      </c>
      <c r="L68" s="125">
        <f t="shared" si="39"/>
        <v>0.58462434151407716</v>
      </c>
      <c r="M68" s="123">
        <f t="shared" si="40"/>
        <v>1.1859008365984482</v>
      </c>
      <c r="N68" s="123">
        <f t="shared" si="41"/>
        <v>1123.6342295207669</v>
      </c>
      <c r="O68" s="123">
        <f t="shared" si="42"/>
        <v>72828.64333776664</v>
      </c>
      <c r="P68" s="123">
        <f t="shared" si="43"/>
        <v>1.0106957040814946</v>
      </c>
      <c r="Q68" s="123">
        <f t="shared" si="44"/>
        <v>522.36824422534391</v>
      </c>
      <c r="R68" s="123">
        <f t="shared" si="45"/>
        <v>3572.4676234235949</v>
      </c>
      <c r="S68" s="123">
        <f t="shared" si="46"/>
        <v>1.0000000000000187</v>
      </c>
      <c r="T68" s="123">
        <f t="shared" si="47"/>
        <v>1.0000000000000187</v>
      </c>
      <c r="U68" s="123">
        <f t="shared" si="48"/>
        <v>1040421646.161374</v>
      </c>
      <c r="V68" s="123">
        <f t="shared" si="49"/>
        <v>3572.4676234235949</v>
      </c>
      <c r="W68" s="19">
        <f t="shared" si="50"/>
        <v>0.15781789949347086</v>
      </c>
      <c r="X68" s="19">
        <f t="shared" si="51"/>
        <v>0.99917651648662842</v>
      </c>
      <c r="Y68" s="19">
        <f t="shared" si="52"/>
        <v>1.0023368832608348</v>
      </c>
      <c r="Z68" s="19">
        <f t="shared" si="53"/>
        <v>1.0582516615339359E-2</v>
      </c>
      <c r="AA68" s="19">
        <f t="shared" si="54"/>
        <v>0.99808564166934965</v>
      </c>
      <c r="AB68" s="19">
        <f t="shared" si="55"/>
        <v>1.295872483408177</v>
      </c>
      <c r="AC68" s="19">
        <f t="shared" si="56"/>
        <v>1.8715842380639229E-14</v>
      </c>
      <c r="AD68" s="19">
        <f t="shared" si="57"/>
        <v>1.8715842380639222E-14</v>
      </c>
      <c r="AE68" s="19">
        <f t="shared" si="58"/>
        <v>0.99999999903885117</v>
      </c>
      <c r="AF68" s="19">
        <f t="shared" si="59"/>
        <v>1.295872483408177</v>
      </c>
      <c r="AG68" s="123">
        <f t="shared" si="60"/>
        <v>5.9987955213061959E-2</v>
      </c>
      <c r="AH68" s="123">
        <f t="shared" si="61"/>
        <v>9.8116466717732672E-6</v>
      </c>
      <c r="AI68" s="123" t="str">
        <f t="shared" si="62"/>
        <v/>
      </c>
      <c r="AJ68" s="123" t="str">
        <f t="shared" si="63"/>
        <v/>
      </c>
      <c r="AK68" s="123" t="str">
        <f t="shared" si="64"/>
        <v/>
      </c>
      <c r="AL68" s="123" t="str">
        <f t="shared" si="65"/>
        <v/>
      </c>
      <c r="AM68" s="123" t="str">
        <f t="shared" si="66"/>
        <v/>
      </c>
      <c r="AN68" s="123" t="str">
        <f t="shared" si="74"/>
        <v/>
      </c>
      <c r="AO68" s="123">
        <f t="shared" si="67"/>
        <v>1.9961890451743654E-11</v>
      </c>
      <c r="AP68" s="123" t="str">
        <f t="shared" si="68"/>
        <v/>
      </c>
      <c r="AQ68" s="131">
        <f t="shared" si="69"/>
        <v>8.1172466787603814E-2</v>
      </c>
      <c r="AR68" s="123">
        <f t="shared" si="70"/>
        <v>8.1172466787603814E-2</v>
      </c>
      <c r="AS68" s="1002"/>
      <c r="AT68" s="446">
        <v>8.1172466787603814E-2</v>
      </c>
      <c r="AU68" s="132">
        <f t="shared" si="71"/>
        <v>0.79347345375517875</v>
      </c>
      <c r="AV68" s="17"/>
      <c r="AW68" s="125">
        <f t="shared" si="72"/>
        <v>-1.3235722292570529E-3</v>
      </c>
      <c r="AX68" s="16"/>
      <c r="AY68" s="26"/>
      <c r="AZ68" s="1001"/>
      <c r="BA68" s="1001"/>
    </row>
    <row r="69" spans="1:53">
      <c r="A69" s="6">
        <v>14.406663844420109</v>
      </c>
      <c r="B69" s="512">
        <v>6.7758363854579944</v>
      </c>
      <c r="C69" s="125">
        <v>6.7635574340820313</v>
      </c>
      <c r="D69" s="124">
        <f t="shared" si="32"/>
        <v>2.1141722535256509E-7</v>
      </c>
      <c r="E69" s="124">
        <f t="shared" si="73"/>
        <v>0.85865529935861806</v>
      </c>
      <c r="F69" s="125">
        <f t="shared" si="33"/>
        <v>-1.2278951375963132E-2</v>
      </c>
      <c r="G69" s="123">
        <f t="shared" si="34"/>
        <v>1.9276511565781989E-9</v>
      </c>
      <c r="H69" s="123">
        <f t="shared" si="35"/>
        <v>4.3905024274884519E-5</v>
      </c>
      <c r="I69" s="124">
        <f t="shared" si="36"/>
        <v>6.3981276775213439E-2</v>
      </c>
      <c r="J69" s="124">
        <f t="shared" si="37"/>
        <v>6.3937371750938554E-2</v>
      </c>
      <c r="K69" s="125">
        <f t="shared" si="38"/>
        <v>0.41871725516789693</v>
      </c>
      <c r="L69" s="125">
        <f t="shared" si="39"/>
        <v>0.58128274483210307</v>
      </c>
      <c r="M69" s="123">
        <f t="shared" si="40"/>
        <v>1.1310281427129127</v>
      </c>
      <c r="N69" s="123">
        <f t="shared" si="41"/>
        <v>797.53967971814836</v>
      </c>
      <c r="O69" s="123">
        <f t="shared" si="42"/>
        <v>51518.977274812256</v>
      </c>
      <c r="P69" s="123">
        <f t="shared" si="43"/>
        <v>1.0075890403208063</v>
      </c>
      <c r="Q69" s="123">
        <f t="shared" si="44"/>
        <v>371.80054929934954</v>
      </c>
      <c r="R69" s="123">
        <f t="shared" si="45"/>
        <v>2311.633520454905</v>
      </c>
      <c r="S69" s="123">
        <f t="shared" si="46"/>
        <v>1.0000000000000133</v>
      </c>
      <c r="T69" s="123">
        <f t="shared" si="47"/>
        <v>1.0000000000000133</v>
      </c>
      <c r="U69" s="123">
        <f t="shared" si="48"/>
        <v>738221791.31957603</v>
      </c>
      <c r="V69" s="123">
        <f t="shared" si="49"/>
        <v>2311.633520454905</v>
      </c>
      <c r="W69" s="19">
        <f t="shared" si="50"/>
        <v>0.11640357673696596</v>
      </c>
      <c r="X69" s="19">
        <f t="shared" si="51"/>
        <v>0.99879341272883282</v>
      </c>
      <c r="Y69" s="19">
        <f t="shared" si="52"/>
        <v>1.0016495767726756</v>
      </c>
      <c r="Z69" s="19">
        <f t="shared" si="53"/>
        <v>7.5318805754278758E-3</v>
      </c>
      <c r="AA69" s="19">
        <f t="shared" si="54"/>
        <v>0.99731038589941712</v>
      </c>
      <c r="AB69" s="19">
        <f t="shared" si="55"/>
        <v>1.2294474266616497</v>
      </c>
      <c r="AC69" s="19">
        <f t="shared" si="56"/>
        <v>1.3279657080816816E-14</v>
      </c>
      <c r="AD69" s="19">
        <f t="shared" si="57"/>
        <v>1.3279657080816813E-14</v>
      </c>
      <c r="AE69" s="19">
        <f t="shared" si="58"/>
        <v>0.99999999864539357</v>
      </c>
      <c r="AF69" s="19">
        <f t="shared" si="59"/>
        <v>1.2294474266616497</v>
      </c>
      <c r="AG69" s="123">
        <f t="shared" si="60"/>
        <v>6.1141561444182667E-2</v>
      </c>
      <c r="AH69" s="123">
        <f t="shared" si="61"/>
        <v>1.3271097369647336E-5</v>
      </c>
      <c r="AI69" s="123" t="str">
        <f t="shared" si="62"/>
        <v/>
      </c>
      <c r="AJ69" s="123" t="str">
        <f t="shared" si="63"/>
        <v/>
      </c>
      <c r="AK69" s="123" t="str">
        <f t="shared" si="64"/>
        <v/>
      </c>
      <c r="AL69" s="123" t="str">
        <f t="shared" si="65"/>
        <v/>
      </c>
      <c r="AM69" s="123" t="str">
        <f t="shared" si="66"/>
        <v/>
      </c>
      <c r="AN69" s="123" t="str">
        <f t="shared" si="74"/>
        <v/>
      </c>
      <c r="AO69" s="123">
        <f t="shared" si="67"/>
        <v>2.8359854727360271E-11</v>
      </c>
      <c r="AP69" s="123" t="str">
        <f t="shared" si="68"/>
        <v/>
      </c>
      <c r="AQ69" s="131">
        <f t="shared" si="69"/>
        <v>8.2494261262443483E-2</v>
      </c>
      <c r="AR69" s="123">
        <f t="shared" si="70"/>
        <v>8.2494261262443483E-2</v>
      </c>
      <c r="AS69" s="1002"/>
      <c r="AT69" s="446">
        <v>8.2494261262443497E-2</v>
      </c>
      <c r="AU69" s="132">
        <f t="shared" si="71"/>
        <v>0.79254375042909375</v>
      </c>
      <c r="AV69" s="17"/>
      <c r="AW69" s="125">
        <f t="shared" si="72"/>
        <v>-1.2278951375963132E-2</v>
      </c>
      <c r="AX69" s="16"/>
      <c r="AY69" s="26"/>
      <c r="AZ69" s="1001"/>
      <c r="BA69" s="1001"/>
    </row>
    <row r="70" spans="1:53">
      <c r="A70" s="6">
        <v>14.560617950337473</v>
      </c>
      <c r="B70" s="512">
        <v>6.9239615864208544</v>
      </c>
      <c r="C70" s="125">
        <v>6.9013900756835937</v>
      </c>
      <c r="D70" s="124">
        <f t="shared" si="32"/>
        <v>1.5044953848780137E-7</v>
      </c>
      <c r="E70" s="124">
        <f t="shared" si="73"/>
        <v>1.0727361569581531</v>
      </c>
      <c r="F70" s="125">
        <f t="shared" si="33"/>
        <v>-2.2571510737260603E-2</v>
      </c>
      <c r="G70" s="123">
        <f t="shared" si="34"/>
        <v>3.8580505585083741E-9</v>
      </c>
      <c r="H70" s="123">
        <f t="shared" si="35"/>
        <v>6.2113207601188769E-5</v>
      </c>
      <c r="I70" s="124">
        <f t="shared" si="36"/>
        <v>6.3696265081396697E-2</v>
      </c>
      <c r="J70" s="124">
        <f t="shared" si="37"/>
        <v>6.3634151873795508E-2</v>
      </c>
      <c r="K70" s="125">
        <f t="shared" si="38"/>
        <v>0.42130664362716619</v>
      </c>
      <c r="L70" s="125">
        <f t="shared" si="39"/>
        <v>0.57869335637283381</v>
      </c>
      <c r="M70" s="123">
        <f t="shared" si="40"/>
        <v>1.0926308319789531</v>
      </c>
      <c r="N70" s="123">
        <f t="shared" si="41"/>
        <v>566.84905473768242</v>
      </c>
      <c r="O70" s="123">
        <f t="shared" si="42"/>
        <v>36518.123103700622</v>
      </c>
      <c r="P70" s="123">
        <f t="shared" si="43"/>
        <v>1.0053912065040189</v>
      </c>
      <c r="Q70" s="123">
        <f t="shared" si="44"/>
        <v>264.87051206484637</v>
      </c>
      <c r="R70" s="123">
        <f t="shared" si="45"/>
        <v>1530.4840581334029</v>
      </c>
      <c r="S70" s="123">
        <f t="shared" si="46"/>
        <v>1.0000000000000093</v>
      </c>
      <c r="T70" s="123">
        <f t="shared" si="47"/>
        <v>1.0000000000000093</v>
      </c>
      <c r="U70" s="123">
        <f t="shared" si="48"/>
        <v>524428116.95927185</v>
      </c>
      <c r="V70" s="123">
        <f t="shared" si="49"/>
        <v>1530.4840581334029</v>
      </c>
      <c r="W70" s="19">
        <f t="shared" si="50"/>
        <v>8.5066127001529046E-2</v>
      </c>
      <c r="X70" s="19">
        <f t="shared" si="51"/>
        <v>0.99826948283049399</v>
      </c>
      <c r="Y70" s="19">
        <f t="shared" si="52"/>
        <v>1.001158818177396</v>
      </c>
      <c r="Z70" s="19">
        <f t="shared" si="53"/>
        <v>5.3622972521964003E-3</v>
      </c>
      <c r="AA70" s="19">
        <f t="shared" si="54"/>
        <v>0.99622457029208611</v>
      </c>
      <c r="AB70" s="19">
        <f t="shared" si="55"/>
        <v>1.1742661137751487</v>
      </c>
      <c r="AC70" s="19">
        <f t="shared" si="56"/>
        <v>9.4337848515877553E-15</v>
      </c>
      <c r="AD70" s="19">
        <f t="shared" si="57"/>
        <v>9.4337848515877537E-15</v>
      </c>
      <c r="AE70" s="19">
        <f t="shared" si="58"/>
        <v>0.99999999809316098</v>
      </c>
      <c r="AF70" s="19">
        <f t="shared" si="59"/>
        <v>1.1742661137751487</v>
      </c>
      <c r="AG70" s="123">
        <f t="shared" si="60"/>
        <v>6.1998177783720021E-2</v>
      </c>
      <c r="AH70" s="123">
        <f t="shared" si="61"/>
        <v>1.8254938046640535E-5</v>
      </c>
      <c r="AI70" s="123" t="str">
        <f t="shared" si="62"/>
        <v/>
      </c>
      <c r="AJ70" s="123" t="str">
        <f t="shared" si="63"/>
        <v/>
      </c>
      <c r="AK70" s="123" t="str">
        <f t="shared" si="64"/>
        <v/>
      </c>
      <c r="AL70" s="123" t="str">
        <f t="shared" si="65"/>
        <v/>
      </c>
      <c r="AM70" s="123" t="str">
        <f t="shared" si="66"/>
        <v/>
      </c>
      <c r="AN70" s="123" t="str">
        <f t="shared" si="74"/>
        <v/>
      </c>
      <c r="AO70" s="123">
        <f t="shared" si="67"/>
        <v>4.0168197509124563E-11</v>
      </c>
      <c r="AP70" s="123" t="str">
        <f t="shared" si="68"/>
        <v/>
      </c>
      <c r="AQ70" s="131">
        <f t="shared" si="69"/>
        <v>8.3483518760142136E-2</v>
      </c>
      <c r="AR70" s="123">
        <f t="shared" si="70"/>
        <v>8.3483518760142136E-2</v>
      </c>
      <c r="AS70" s="1002"/>
      <c r="AT70" s="446">
        <v>8.3483518760142136E-2</v>
      </c>
      <c r="AU70" s="132">
        <f t="shared" si="71"/>
        <v>0.79185844679511808</v>
      </c>
      <c r="AV70" s="17"/>
      <c r="AW70" s="125">
        <f t="shared" si="72"/>
        <v>-2.2571510737260603E-2</v>
      </c>
      <c r="AX70" s="16"/>
      <c r="AY70" s="26"/>
      <c r="AZ70" s="1001"/>
      <c r="BA70" s="1001"/>
    </row>
    <row r="71" spans="1:53">
      <c r="A71" s="6">
        <v>14.680155283713248</v>
      </c>
      <c r="B71" s="512">
        <v>7.0654141329579554</v>
      </c>
      <c r="C71" s="125">
        <v>7.0395736694335938</v>
      </c>
      <c r="D71" s="124">
        <f t="shared" si="32"/>
        <v>1.0869281800225694E-7</v>
      </c>
      <c r="E71" s="124">
        <f t="shared" si="73"/>
        <v>1.1571971716393483</v>
      </c>
      <c r="F71" s="125">
        <f t="shared" si="33"/>
        <v>-2.5840463524361645E-2</v>
      </c>
      <c r="G71" s="123">
        <f t="shared" si="34"/>
        <v>3.0075882895788203E-9</v>
      </c>
      <c r="H71" s="123">
        <f t="shared" si="35"/>
        <v>5.4841483291198645E-5</v>
      </c>
      <c r="I71" s="124">
        <f t="shared" si="36"/>
        <v>6.3476713536383789E-2</v>
      </c>
      <c r="J71" s="124">
        <f t="shared" si="37"/>
        <v>6.342187205309259E-2</v>
      </c>
      <c r="K71" s="125">
        <f t="shared" si="38"/>
        <v>0.42330131349231448</v>
      </c>
      <c r="L71" s="125">
        <f t="shared" si="39"/>
        <v>0.57669868650768552</v>
      </c>
      <c r="M71" s="123">
        <f t="shared" si="40"/>
        <v>1.0666158590827191</v>
      </c>
      <c r="N71" s="123">
        <f t="shared" si="41"/>
        <v>409.30194920708868</v>
      </c>
      <c r="O71" s="123">
        <f t="shared" si="42"/>
        <v>26310.521227120942</v>
      </c>
      <c r="P71" s="123">
        <f t="shared" si="43"/>
        <v>1.003890190648538</v>
      </c>
      <c r="Q71" s="123">
        <f t="shared" si="44"/>
        <v>191.63421418439358</v>
      </c>
      <c r="R71" s="123">
        <f t="shared" si="45"/>
        <v>1049.5938905857824</v>
      </c>
      <c r="S71" s="123">
        <f t="shared" si="46"/>
        <v>1.0000000000000069</v>
      </c>
      <c r="T71" s="123">
        <f t="shared" si="47"/>
        <v>1.0000000000000069</v>
      </c>
      <c r="U71" s="123">
        <f t="shared" si="48"/>
        <v>378417216.33285522</v>
      </c>
      <c r="V71" s="123">
        <f t="shared" si="49"/>
        <v>1049.5938905857824</v>
      </c>
      <c r="W71" s="19">
        <f t="shared" si="50"/>
        <v>6.2608565512362005E-2</v>
      </c>
      <c r="X71" s="19">
        <f t="shared" si="51"/>
        <v>0.99758108918475685</v>
      </c>
      <c r="Y71" s="19">
        <f t="shared" si="52"/>
        <v>1.0008182064532889</v>
      </c>
      <c r="Z71" s="19">
        <f t="shared" si="53"/>
        <v>3.8751157096424565E-3</v>
      </c>
      <c r="AA71" s="19">
        <f t="shared" si="54"/>
        <v>0.99478172515145036</v>
      </c>
      <c r="AB71" s="19">
        <f t="shared" si="55"/>
        <v>1.1316921375035629</v>
      </c>
      <c r="AC71" s="19">
        <f t="shared" si="56"/>
        <v>6.8072372259427656E-15</v>
      </c>
      <c r="AD71" s="19">
        <f t="shared" si="57"/>
        <v>6.8072372259427656E-15</v>
      </c>
      <c r="AE71" s="19">
        <f t="shared" si="58"/>
        <v>0.99999999735741407</v>
      </c>
      <c r="AF71" s="19">
        <f t="shared" si="59"/>
        <v>1.1316921375035629</v>
      </c>
      <c r="AG71" s="123">
        <f t="shared" si="60"/>
        <v>6.2591563481318307E-2</v>
      </c>
      <c r="AH71" s="123">
        <f t="shared" si="61"/>
        <v>2.496887704739514E-5</v>
      </c>
      <c r="AI71" s="123" t="str">
        <f t="shared" si="62"/>
        <v/>
      </c>
      <c r="AJ71" s="123" t="str">
        <f t="shared" si="63"/>
        <v/>
      </c>
      <c r="AK71" s="123" t="str">
        <f t="shared" si="64"/>
        <v/>
      </c>
      <c r="AL71" s="123" t="str">
        <f t="shared" si="65"/>
        <v/>
      </c>
      <c r="AM71" s="123" t="str">
        <f t="shared" si="66"/>
        <v/>
      </c>
      <c r="AN71" s="123" t="str">
        <f t="shared" si="74"/>
        <v/>
      </c>
      <c r="AO71" s="123">
        <f t="shared" si="67"/>
        <v>5.593050411321393E-11</v>
      </c>
      <c r="AP71" s="123" t="str">
        <f t="shared" si="68"/>
        <v/>
      </c>
      <c r="AQ71" s="131">
        <f t="shared" si="69"/>
        <v>8.4181967277164316E-2</v>
      </c>
      <c r="AR71" s="123">
        <f t="shared" si="70"/>
        <v>8.4181967277164316E-2</v>
      </c>
      <c r="AS71" s="1002"/>
      <c r="AT71" s="446">
        <v>8.4181967277164316E-2</v>
      </c>
      <c r="AU71" s="132">
        <f t="shared" si="71"/>
        <v>0.79137990533561353</v>
      </c>
      <c r="AV71" s="17"/>
      <c r="AW71" s="125">
        <f t="shared" si="72"/>
        <v>-2.5840463524361645E-2</v>
      </c>
      <c r="AX71" s="16"/>
      <c r="AY71" s="26"/>
      <c r="AZ71" s="1001"/>
      <c r="BA71" s="1001"/>
    </row>
    <row r="72" spans="1:53">
      <c r="A72" s="6">
        <v>14.773074111144524</v>
      </c>
      <c r="B72" s="512">
        <v>7.1705109682570018</v>
      </c>
      <c r="C72" s="125">
        <v>7.1782913208007812</v>
      </c>
      <c r="D72" s="124">
        <f t="shared" si="32"/>
        <v>8.535822885681391E-8</v>
      </c>
      <c r="E72" s="124">
        <f t="shared" si="73"/>
        <v>1.6898336051436016</v>
      </c>
      <c r="F72" s="125">
        <f t="shared" si="33"/>
        <v>7.7803525437794008E-3</v>
      </c>
      <c r="G72" s="123">
        <f t="shared" si="34"/>
        <v>1.7533758553275672E-10</v>
      </c>
      <c r="H72" s="123">
        <f t="shared" si="35"/>
        <v>-1.3241509941572249E-5</v>
      </c>
      <c r="I72" s="124">
        <f t="shared" si="36"/>
        <v>6.3307094313989482E-2</v>
      </c>
      <c r="J72" s="124">
        <f t="shared" si="37"/>
        <v>6.3320335823931054E-2</v>
      </c>
      <c r="K72" s="125">
        <f t="shared" si="38"/>
        <v>0.42484233818170991</v>
      </c>
      <c r="L72" s="125">
        <f t="shared" si="39"/>
        <v>0.57515766181829009</v>
      </c>
      <c r="M72" s="123">
        <f t="shared" si="40"/>
        <v>1.052184797894018</v>
      </c>
      <c r="N72" s="123">
        <f t="shared" si="41"/>
        <v>321.43575325090893</v>
      </c>
      <c r="O72" s="123">
        <f t="shared" si="42"/>
        <v>20631.603559396972</v>
      </c>
      <c r="P72" s="123">
        <f t="shared" si="43"/>
        <v>1.0030530412235714</v>
      </c>
      <c r="Q72" s="123">
        <f t="shared" si="44"/>
        <v>150.70813326371265</v>
      </c>
      <c r="R72" s="123">
        <f t="shared" si="45"/>
        <v>799.90856793563546</v>
      </c>
      <c r="S72" s="123">
        <f t="shared" si="46"/>
        <v>1.0000000000000053</v>
      </c>
      <c r="T72" s="123">
        <f t="shared" si="47"/>
        <v>1.0000000000000053</v>
      </c>
      <c r="U72" s="123">
        <f t="shared" si="48"/>
        <v>296983738.43057626</v>
      </c>
      <c r="V72" s="123">
        <f t="shared" si="49"/>
        <v>799.90856793563546</v>
      </c>
      <c r="W72" s="19">
        <f t="shared" si="50"/>
        <v>4.9692085591557036E-2</v>
      </c>
      <c r="X72" s="19">
        <f t="shared" si="51"/>
        <v>0.99690800791347711</v>
      </c>
      <c r="Y72" s="19">
        <f t="shared" si="52"/>
        <v>1.0006236085874054</v>
      </c>
      <c r="Z72" s="19">
        <f t="shared" si="53"/>
        <v>3.0437485338235129E-3</v>
      </c>
      <c r="AA72" s="19">
        <f t="shared" si="54"/>
        <v>0.99336465804237539</v>
      </c>
      <c r="AB72" s="19">
        <f t="shared" si="55"/>
        <v>1.1058801424092215</v>
      </c>
      <c r="AC72" s="19">
        <f t="shared" si="56"/>
        <v>5.3423540762130896E-15</v>
      </c>
      <c r="AD72" s="19">
        <f t="shared" si="57"/>
        <v>5.3423540762130896E-15</v>
      </c>
      <c r="AE72" s="19">
        <f t="shared" si="58"/>
        <v>0.99999999663281225</v>
      </c>
      <c r="AF72" s="19">
        <f t="shared" si="59"/>
        <v>1.1058801424092215</v>
      </c>
      <c r="AG72" s="123">
        <f t="shared" si="60"/>
        <v>6.2887551040771053E-2</v>
      </c>
      <c r="AH72" s="123">
        <f t="shared" si="61"/>
        <v>3.1589611815020811E-5</v>
      </c>
      <c r="AI72" s="123" t="str">
        <f t="shared" si="62"/>
        <v/>
      </c>
      <c r="AJ72" s="123" t="str">
        <f t="shared" si="63"/>
        <v/>
      </c>
      <c r="AK72" s="123" t="str">
        <f t="shared" si="64"/>
        <v/>
      </c>
      <c r="AL72" s="123" t="str">
        <f t="shared" si="65"/>
        <v/>
      </c>
      <c r="AM72" s="123" t="str">
        <f t="shared" si="66"/>
        <v/>
      </c>
      <c r="AN72" s="123" t="str">
        <f t="shared" si="74"/>
        <v/>
      </c>
      <c r="AO72" s="123">
        <f t="shared" si="67"/>
        <v>7.1526195411709768E-11</v>
      </c>
      <c r="AP72" s="123" t="str">
        <f t="shared" si="68"/>
        <v/>
      </c>
      <c r="AQ72" s="131">
        <f t="shared" si="69"/>
        <v>8.4560565931148246E-2</v>
      </c>
      <c r="AR72" s="123">
        <f t="shared" si="70"/>
        <v>8.4560565931148246E-2</v>
      </c>
      <c r="AS72" s="1002"/>
      <c r="AT72" s="446">
        <v>8.4560565931148246E-2</v>
      </c>
      <c r="AU72" s="132">
        <f t="shared" si="71"/>
        <v>0.79112231848326398</v>
      </c>
      <c r="AV72" s="17"/>
      <c r="AW72" s="125">
        <f t="shared" si="72"/>
        <v>7.7803525437794008E-3</v>
      </c>
      <c r="AX72" s="16"/>
      <c r="AY72" s="26"/>
      <c r="AZ72" s="1001"/>
      <c r="BA72" s="1001"/>
    </row>
    <row r="73" spans="1:53">
      <c r="A73" s="6">
        <v>14.84628180769505</v>
      </c>
      <c r="B73" s="512">
        <v>7.335126270298276</v>
      </c>
      <c r="C73" s="125">
        <v>7.3167953491210938</v>
      </c>
      <c r="D73" s="124">
        <f t="shared" ref="D73:D91" si="75">IF(A73="","",10^-((((B73-P$12)/P$13)+7))/$AU73)</f>
        <v>5.8453599849174739E-8</v>
      </c>
      <c r="E73" s="124">
        <f t="shared" si="73"/>
        <v>2.080550712094837</v>
      </c>
      <c r="F73" s="125">
        <f t="shared" si="33"/>
        <v>-1.8330921177182269E-2</v>
      </c>
      <c r="G73" s="123">
        <f t="shared" si="34"/>
        <v>5.9454110766483716E-10</v>
      </c>
      <c r="H73" s="123">
        <f t="shared" si="35"/>
        <v>2.4383213645146062E-5</v>
      </c>
      <c r="I73" s="124">
        <f t="shared" si="36"/>
        <v>6.3174093996319708E-2</v>
      </c>
      <c r="J73" s="124">
        <f t="shared" si="37"/>
        <v>6.3149710782674562E-2</v>
      </c>
      <c r="K73" s="125">
        <f t="shared" si="38"/>
        <v>0.42605067276981523</v>
      </c>
      <c r="L73" s="125">
        <f t="shared" si="39"/>
        <v>0.57394932723018477</v>
      </c>
      <c r="M73" s="123">
        <f t="shared" si="40"/>
        <v>1.0356252819531726</v>
      </c>
      <c r="N73" s="123">
        <f t="shared" si="41"/>
        <v>220.25115020055804</v>
      </c>
      <c r="O73" s="123">
        <f t="shared" si="42"/>
        <v>14102.358169999696</v>
      </c>
      <c r="P73" s="123">
        <f t="shared" si="43"/>
        <v>1.0020889892119023</v>
      </c>
      <c r="Q73" s="123">
        <f t="shared" si="44"/>
        <v>103.52062903792807</v>
      </c>
      <c r="R73" s="123">
        <f t="shared" si="45"/>
        <v>528.68354561986814</v>
      </c>
      <c r="S73" s="123">
        <f t="shared" si="46"/>
        <v>1.0000000000000036</v>
      </c>
      <c r="T73" s="123">
        <f t="shared" si="47"/>
        <v>1.0000000000000036</v>
      </c>
      <c r="U73" s="123">
        <f t="shared" si="48"/>
        <v>203205846.63779318</v>
      </c>
      <c r="V73" s="123">
        <f t="shared" si="49"/>
        <v>528.68354561986814</v>
      </c>
      <c r="W73" s="19">
        <f t="shared" si="50"/>
        <v>3.4445078939418512E-2</v>
      </c>
      <c r="X73" s="19">
        <f t="shared" si="51"/>
        <v>0.99547275513715683</v>
      </c>
      <c r="Y73" s="19">
        <f t="shared" si="52"/>
        <v>1.000389034541703</v>
      </c>
      <c r="Z73" s="19">
        <f t="shared" si="53"/>
        <v>2.0846344330608169E-3</v>
      </c>
      <c r="AA73" s="19">
        <f t="shared" si="54"/>
        <v>0.99034008961022046</v>
      </c>
      <c r="AB73" s="19">
        <f t="shared" si="55"/>
        <v>1.0739316091315811</v>
      </c>
      <c r="AC73" s="19">
        <f t="shared" si="56"/>
        <v>3.6554108554470978E-15</v>
      </c>
      <c r="AD73" s="19">
        <f t="shared" si="57"/>
        <v>3.6554108554470978E-15</v>
      </c>
      <c r="AE73" s="19">
        <f t="shared" si="58"/>
        <v>0.99999999507888171</v>
      </c>
      <c r="AF73" s="19">
        <f t="shared" si="59"/>
        <v>1.0739316091315811</v>
      </c>
      <c r="AG73" s="123">
        <f t="shared" si="60"/>
        <v>6.3301365759771258E-2</v>
      </c>
      <c r="AH73" s="123">
        <f t="shared" si="61"/>
        <v>4.5856406810757108E-5</v>
      </c>
      <c r="AI73" s="123" t="str">
        <f t="shared" si="62"/>
        <v/>
      </c>
      <c r="AJ73" s="123" t="str">
        <f t="shared" si="63"/>
        <v/>
      </c>
      <c r="AK73" s="123" t="str">
        <f t="shared" si="64"/>
        <v/>
      </c>
      <c r="AL73" s="123" t="str">
        <f t="shared" si="65"/>
        <v/>
      </c>
      <c r="AM73" s="123" t="str">
        <f t="shared" si="66"/>
        <v/>
      </c>
      <c r="AN73" s="123" t="str">
        <f t="shared" si="74"/>
        <v/>
      </c>
      <c r="AO73" s="123">
        <f t="shared" si="67"/>
        <v>1.0483228701810795E-10</v>
      </c>
      <c r="AP73" s="123" t="str">
        <f t="shared" si="68"/>
        <v/>
      </c>
      <c r="AQ73" s="131">
        <f t="shared" si="69"/>
        <v>8.5048255637512032E-2</v>
      </c>
      <c r="AR73" s="123">
        <f t="shared" si="70"/>
        <v>8.5048255637512032E-2</v>
      </c>
      <c r="AS73" s="1002"/>
      <c r="AT73" s="446">
        <v>8.5048255637512032E-2</v>
      </c>
      <c r="AU73" s="132">
        <f t="shared" si="71"/>
        <v>0.79079236475973036</v>
      </c>
      <c r="AV73" s="17"/>
      <c r="AW73" s="125">
        <f t="shared" si="72"/>
        <v>-1.8330921177182269E-2</v>
      </c>
      <c r="AX73" s="16"/>
      <c r="AY73" s="26"/>
      <c r="AZ73" s="1001"/>
      <c r="BA73" s="1001"/>
    </row>
    <row r="74" spans="1:53">
      <c r="A74" s="6">
        <v>14.905741201073397</v>
      </c>
      <c r="B74" s="512">
        <v>7.4488420585508965</v>
      </c>
      <c r="C74" s="125">
        <v>7.4554824829101563</v>
      </c>
      <c r="D74" s="124">
        <f t="shared" si="75"/>
        <v>4.4996747280094742E-8</v>
      </c>
      <c r="E74" s="124">
        <f t="shared" si="73"/>
        <v>2.8914921964778917</v>
      </c>
      <c r="F74" s="125">
        <f t="shared" si="33"/>
        <v>6.6404243592597112E-3</v>
      </c>
      <c r="G74" s="123">
        <f t="shared" si="34"/>
        <v>5.6059207285168919E-11</v>
      </c>
      <c r="H74" s="123">
        <f t="shared" si="35"/>
        <v>-7.4872696816108419E-6</v>
      </c>
      <c r="I74" s="124">
        <f t="shared" si="36"/>
        <v>6.3066481518343376E-2</v>
      </c>
      <c r="J74" s="124">
        <f t="shared" si="37"/>
        <v>6.3073968788024987E-2</v>
      </c>
      <c r="K74" s="125">
        <f t="shared" si="38"/>
        <v>0.42702835373726505</v>
      </c>
      <c r="L74" s="125">
        <f t="shared" si="39"/>
        <v>0.572971646262735</v>
      </c>
      <c r="M74" s="123">
        <f t="shared" si="40"/>
        <v>1.0273830780641717</v>
      </c>
      <c r="N74" s="123">
        <f t="shared" si="41"/>
        <v>169.70934412841359</v>
      </c>
      <c r="O74" s="123">
        <f t="shared" si="42"/>
        <v>10846.314820557276</v>
      </c>
      <c r="P74" s="123">
        <f t="shared" si="43"/>
        <v>1.0016074399666313</v>
      </c>
      <c r="Q74" s="123">
        <f t="shared" si="44"/>
        <v>79.918917700859453</v>
      </c>
      <c r="R74" s="123">
        <f t="shared" si="45"/>
        <v>399.77526415973205</v>
      </c>
      <c r="S74" s="123">
        <f t="shared" si="46"/>
        <v>1.0000000000000029</v>
      </c>
      <c r="T74" s="123">
        <f t="shared" si="47"/>
        <v>1.0000000000000029</v>
      </c>
      <c r="U74" s="123">
        <f t="shared" si="48"/>
        <v>156363277.49286947</v>
      </c>
      <c r="V74" s="123">
        <f t="shared" si="49"/>
        <v>399.77526415973205</v>
      </c>
      <c r="W74" s="19">
        <f t="shared" si="50"/>
        <v>2.6680234741531864E-2</v>
      </c>
      <c r="X74" s="19">
        <f t="shared" si="51"/>
        <v>0.99411758659599792</v>
      </c>
      <c r="Y74" s="19">
        <f t="shared" si="52"/>
        <v>1.0002617520071548</v>
      </c>
      <c r="Z74" s="19">
        <f t="shared" si="53"/>
        <v>1.6048602501243538E-3</v>
      </c>
      <c r="AA74" s="19">
        <f t="shared" si="54"/>
        <v>0.98748731803722556</v>
      </c>
      <c r="AB74" s="19">
        <f t="shared" si="55"/>
        <v>1.0568467529998686</v>
      </c>
      <c r="AC74" s="19">
        <f t="shared" si="56"/>
        <v>2.8127735030257639E-15</v>
      </c>
      <c r="AD74" s="19">
        <f t="shared" si="57"/>
        <v>2.8127735030257639E-15</v>
      </c>
      <c r="AE74" s="19">
        <f t="shared" si="58"/>
        <v>0.99999999360463654</v>
      </c>
      <c r="AF74" s="19">
        <f t="shared" si="59"/>
        <v>1.0568467529998686</v>
      </c>
      <c r="AG74" s="123">
        <f t="shared" si="60"/>
        <v>6.3471194490911986E-2</v>
      </c>
      <c r="AH74" s="123">
        <f t="shared" si="61"/>
        <v>5.9342416093749105E-5</v>
      </c>
      <c r="AI74" s="123" t="str">
        <f t="shared" si="62"/>
        <v/>
      </c>
      <c r="AJ74" s="123" t="str">
        <f t="shared" si="63"/>
        <v/>
      </c>
      <c r="AK74" s="123" t="str">
        <f t="shared" si="64"/>
        <v/>
      </c>
      <c r="AL74" s="123" t="str">
        <f t="shared" si="65"/>
        <v/>
      </c>
      <c r="AM74" s="123" t="str">
        <f t="shared" si="66"/>
        <v/>
      </c>
      <c r="AN74" s="123" t="str">
        <f t="shared" si="74"/>
        <v/>
      </c>
      <c r="AO74" s="123">
        <f t="shared" si="67"/>
        <v>1.3655007767304525E-10</v>
      </c>
      <c r="AP74" s="123" t="str">
        <f t="shared" si="68"/>
        <v/>
      </c>
      <c r="AQ74" s="131">
        <f t="shared" si="69"/>
        <v>8.5279810459743283E-2</v>
      </c>
      <c r="AR74" s="123">
        <f t="shared" si="70"/>
        <v>8.5279810459743283E-2</v>
      </c>
      <c r="AS74" s="1002"/>
      <c r="AT74" s="446">
        <v>8.5279810459743283E-2</v>
      </c>
      <c r="AU74" s="132">
        <f t="shared" si="71"/>
        <v>0.7906364289093557</v>
      </c>
      <c r="AV74" s="17"/>
      <c r="AW74" s="125">
        <f t="shared" si="72"/>
        <v>6.6404243592597112E-3</v>
      </c>
      <c r="AX74" s="16"/>
      <c r="AY74" s="26"/>
      <c r="AZ74" s="1001"/>
      <c r="BA74" s="1001"/>
    </row>
    <row r="75" spans="1:53">
      <c r="A75" s="6">
        <v>14.956614199036267</v>
      </c>
      <c r="B75" s="512">
        <v>7.6457454612215425</v>
      </c>
      <c r="C75" s="125">
        <v>7.5933609008789062</v>
      </c>
      <c r="D75" s="124">
        <f t="shared" si="75"/>
        <v>2.8602075447857019E-8</v>
      </c>
      <c r="E75" s="124">
        <f t="shared" si="73"/>
        <v>3.1988041364721331</v>
      </c>
      <c r="F75" s="125">
        <f t="shared" si="33"/>
        <v>-5.2384560342636277E-2</v>
      </c>
      <c r="G75" s="123">
        <f t="shared" si="34"/>
        <v>2.6781056223866563E-9</v>
      </c>
      <c r="H75" s="123">
        <f t="shared" si="35"/>
        <v>5.1750416639739782E-5</v>
      </c>
      <c r="I75" s="124">
        <f t="shared" si="36"/>
        <v>6.2974699717979643E-2</v>
      </c>
      <c r="J75" s="124">
        <f t="shared" si="37"/>
        <v>6.2922949301339903E-2</v>
      </c>
      <c r="K75" s="125">
        <f t="shared" si="38"/>
        <v>0.42786220982032669</v>
      </c>
      <c r="L75" s="125">
        <f t="shared" si="39"/>
        <v>0.57213779017967326</v>
      </c>
      <c r="M75" s="123">
        <f t="shared" si="40"/>
        <v>1.0173707694639931</v>
      </c>
      <c r="N75" s="123">
        <f t="shared" si="41"/>
        <v>108.18013766112691</v>
      </c>
      <c r="O75" s="123">
        <f t="shared" si="42"/>
        <v>6886.3052791256905</v>
      </c>
      <c r="P75" s="123">
        <f t="shared" si="43"/>
        <v>1.0010212017012645</v>
      </c>
      <c r="Q75" s="123">
        <f t="shared" si="44"/>
        <v>51.164622440203374</v>
      </c>
      <c r="R75" s="123">
        <f t="shared" si="45"/>
        <v>248.70680372580961</v>
      </c>
      <c r="S75" s="123">
        <f t="shared" si="46"/>
        <v>1.0000000000000018</v>
      </c>
      <c r="T75" s="123">
        <f t="shared" si="47"/>
        <v>1.0000000000000018</v>
      </c>
      <c r="U75" s="123">
        <f t="shared" si="48"/>
        <v>99337112.98213613</v>
      </c>
      <c r="V75" s="123">
        <f t="shared" si="49"/>
        <v>248.70680372580961</v>
      </c>
      <c r="W75" s="19">
        <f t="shared" si="50"/>
        <v>1.7085165551509133E-2</v>
      </c>
      <c r="X75" s="19">
        <f t="shared" si="51"/>
        <v>0.99076250290134316</v>
      </c>
      <c r="Y75" s="19">
        <f t="shared" si="52"/>
        <v>1.0000796642151997</v>
      </c>
      <c r="Z75" s="19">
        <f t="shared" si="53"/>
        <v>1.0201599122265795E-3</v>
      </c>
      <c r="AA75" s="19">
        <f t="shared" si="54"/>
        <v>0.98045524520055416</v>
      </c>
      <c r="AB75" s="19">
        <f t="shared" si="55"/>
        <v>1.0344604693398216</v>
      </c>
      <c r="AC75" s="19">
        <f t="shared" si="56"/>
        <v>1.7869464154777805E-15</v>
      </c>
      <c r="AD75" s="19">
        <f t="shared" si="57"/>
        <v>1.7869464154777805E-15</v>
      </c>
      <c r="AE75" s="19">
        <f t="shared" si="58"/>
        <v>0.999999989933269</v>
      </c>
      <c r="AF75" s="19">
        <f t="shared" si="59"/>
        <v>1.0344604693398216</v>
      </c>
      <c r="AG75" s="123">
        <f t="shared" si="60"/>
        <v>6.3721522436635231E-2</v>
      </c>
      <c r="AH75" s="123">
        <f t="shared" si="61"/>
        <v>9.2864870050071997E-5</v>
      </c>
      <c r="AI75" s="123" t="str">
        <f t="shared" si="62"/>
        <v/>
      </c>
      <c r="AJ75" s="123" t="str">
        <f t="shared" si="63"/>
        <v/>
      </c>
      <c r="AK75" s="123" t="str">
        <f t="shared" si="64"/>
        <v/>
      </c>
      <c r="AL75" s="123" t="str">
        <f t="shared" si="65"/>
        <v/>
      </c>
      <c r="AM75" s="123" t="str">
        <f t="shared" si="66"/>
        <v/>
      </c>
      <c r="AN75" s="123" t="str">
        <f t="shared" si="74"/>
        <v/>
      </c>
      <c r="AO75" s="123">
        <f t="shared" si="67"/>
        <v>2.1535868970606659E-10</v>
      </c>
      <c r="AP75" s="123" t="str">
        <f t="shared" si="68"/>
        <v/>
      </c>
      <c r="AQ75" s="131">
        <f t="shared" si="69"/>
        <v>8.5604869585439003E-2</v>
      </c>
      <c r="AR75" s="123">
        <f t="shared" si="70"/>
        <v>8.5604869585439003E-2</v>
      </c>
      <c r="AS75" s="1002"/>
      <c r="AT75" s="446">
        <v>8.5604869585439003E-2</v>
      </c>
      <c r="AU75" s="132">
        <f t="shared" si="71"/>
        <v>0.79041830774099098</v>
      </c>
      <c r="AV75" s="17"/>
      <c r="AW75" s="125">
        <f t="shared" si="72"/>
        <v>-5.2384560342636277E-2</v>
      </c>
      <c r="AX75" s="16"/>
      <c r="AY75" s="26"/>
      <c r="AZ75" s="1001"/>
      <c r="BA75" s="1001"/>
    </row>
    <row r="76" spans="1:53">
      <c r="A76" s="6">
        <v>15.003504943160806</v>
      </c>
      <c r="B76" s="512">
        <v>7.7642439426149625</v>
      </c>
      <c r="C76" s="125">
        <v>7.7303237915039062</v>
      </c>
      <c r="D76" s="124">
        <f t="shared" si="75"/>
        <v>2.1774343809615327E-8</v>
      </c>
      <c r="E76" s="124">
        <f t="shared" si="73"/>
        <v>2.4735614723517472</v>
      </c>
      <c r="F76" s="125">
        <f t="shared" si="33"/>
        <v>-3.3920151111056285E-2</v>
      </c>
      <c r="G76" s="123">
        <f t="shared" si="34"/>
        <v>1.0920558998933456E-9</v>
      </c>
      <c r="H76" s="123">
        <f t="shared" si="35"/>
        <v>3.3046269076755785E-5</v>
      </c>
      <c r="I76" s="124">
        <f t="shared" si="36"/>
        <v>6.2890338722256772E-2</v>
      </c>
      <c r="J76" s="124">
        <f t="shared" si="37"/>
        <v>6.2857292453180016E-2</v>
      </c>
      <c r="K76" s="125">
        <f t="shared" si="38"/>
        <v>0.42862864640337339</v>
      </c>
      <c r="L76" s="125">
        <f t="shared" si="39"/>
        <v>0.57137135359662661</v>
      </c>
      <c r="M76" s="123">
        <f t="shared" si="40"/>
        <v>1.0132136779231429</v>
      </c>
      <c r="N76" s="123">
        <f t="shared" si="41"/>
        <v>82.577267808416366</v>
      </c>
      <c r="O76" s="123">
        <f t="shared" si="42"/>
        <v>5240.1804543481812</v>
      </c>
      <c r="P76" s="123">
        <f t="shared" si="43"/>
        <v>1.000777261289503</v>
      </c>
      <c r="Q76" s="123">
        <f t="shared" si="44"/>
        <v>39.189597048083172</v>
      </c>
      <c r="R76" s="123">
        <f t="shared" si="45"/>
        <v>187.75599696954313</v>
      </c>
      <c r="S76" s="123">
        <f t="shared" si="46"/>
        <v>1.0000000000000013</v>
      </c>
      <c r="T76" s="123">
        <f t="shared" si="47"/>
        <v>1.0000000000000013</v>
      </c>
      <c r="U76" s="123">
        <f t="shared" si="48"/>
        <v>75607877.151321083</v>
      </c>
      <c r="V76" s="123">
        <f t="shared" si="49"/>
        <v>187.75599696954313</v>
      </c>
      <c r="W76" s="19">
        <f t="shared" si="50"/>
        <v>1.3047740938774007E-2</v>
      </c>
      <c r="X76" s="19">
        <f t="shared" si="51"/>
        <v>0.98789494534827715</v>
      </c>
      <c r="Y76" s="19">
        <f t="shared" si="52"/>
        <v>0.99998032984080132</v>
      </c>
      <c r="Z76" s="19">
        <f t="shared" si="53"/>
        <v>7.7665762359684185E-4</v>
      </c>
      <c r="AA76" s="19">
        <f t="shared" si="54"/>
        <v>0.97448302418692734</v>
      </c>
      <c r="AB76" s="19">
        <f t="shared" si="55"/>
        <v>1.0241970564698883</v>
      </c>
      <c r="AC76" s="19">
        <f t="shared" si="56"/>
        <v>1.36008809369194E-15</v>
      </c>
      <c r="AD76" s="19">
        <f t="shared" si="57"/>
        <v>1.36008809369194E-15</v>
      </c>
      <c r="AE76" s="19">
        <f t="shared" si="58"/>
        <v>0.99999998677386492</v>
      </c>
      <c r="AF76" s="19">
        <f t="shared" si="59"/>
        <v>1.0241970564698883</v>
      </c>
      <c r="AG76" s="123">
        <f t="shared" si="60"/>
        <v>6.3780199544352933E-2</v>
      </c>
      <c r="AH76" s="123">
        <f t="shared" si="61"/>
        <v>1.214593690308421E-4</v>
      </c>
      <c r="AI76" s="123" t="str">
        <f t="shared" si="62"/>
        <v/>
      </c>
      <c r="AJ76" s="123" t="str">
        <f t="shared" si="63"/>
        <v/>
      </c>
      <c r="AK76" s="123" t="str">
        <f t="shared" si="64"/>
        <v/>
      </c>
      <c r="AL76" s="123" t="str">
        <f t="shared" si="65"/>
        <v/>
      </c>
      <c r="AM76" s="123" t="str">
        <f t="shared" si="66"/>
        <v/>
      </c>
      <c r="AN76" s="123" t="str">
        <f t="shared" si="74"/>
        <v/>
      </c>
      <c r="AO76" s="123">
        <f t="shared" si="67"/>
        <v>2.8345501986884185E-10</v>
      </c>
      <c r="AP76" s="123" t="str">
        <f t="shared" si="68"/>
        <v/>
      </c>
      <c r="AQ76" s="131">
        <f t="shared" si="69"/>
        <v>8.573001617766951E-2</v>
      </c>
      <c r="AR76" s="123">
        <f t="shared" si="70"/>
        <v>8.573001617766951E-2</v>
      </c>
      <c r="AS76" s="1002"/>
      <c r="AT76" s="446">
        <v>8.573001617766951E-2</v>
      </c>
      <c r="AU76" s="132">
        <f t="shared" si="71"/>
        <v>0.79033457466907486</v>
      </c>
      <c r="AV76" s="17"/>
      <c r="AW76" s="125">
        <f t="shared" si="72"/>
        <v>-3.3920151111056285E-2</v>
      </c>
      <c r="AX76" s="16"/>
      <c r="AY76" s="26"/>
      <c r="AZ76" s="1001"/>
      <c r="BA76" s="1001"/>
    </row>
    <row r="77" spans="1:53">
      <c r="A77" s="6">
        <v>15.050747345958371</v>
      </c>
      <c r="B77" s="512">
        <v>7.8785707528177369</v>
      </c>
      <c r="C77" s="125">
        <v>7.8659439086914063</v>
      </c>
      <c r="D77" s="124">
        <f t="shared" si="75"/>
        <v>1.6736051854569775E-8</v>
      </c>
      <c r="E77" s="124">
        <f t="shared" si="73"/>
        <v>2.6789506656145434</v>
      </c>
      <c r="F77" s="125">
        <f t="shared" si="33"/>
        <v>-1.2626844126330639E-2</v>
      </c>
      <c r="G77" s="123">
        <f t="shared" si="34"/>
        <v>1.7131302535771147E-10</v>
      </c>
      <c r="H77" s="123">
        <f t="shared" si="35"/>
        <v>1.3088660181917455E-5</v>
      </c>
      <c r="I77" s="124">
        <f t="shared" si="36"/>
        <v>6.2805573319548891E-2</v>
      </c>
      <c r="J77" s="124">
        <f t="shared" si="37"/>
        <v>6.2792484659366973E-2</v>
      </c>
      <c r="K77" s="125">
        <f t="shared" si="38"/>
        <v>0.42939875710507042</v>
      </c>
      <c r="L77" s="125">
        <f t="shared" si="39"/>
        <v>0.57060124289492953</v>
      </c>
      <c r="M77" s="123">
        <f t="shared" si="40"/>
        <v>1.0101501836437095</v>
      </c>
      <c r="N77" s="123">
        <f t="shared" si="41"/>
        <v>63.691275901679226</v>
      </c>
      <c r="O77" s="123">
        <f t="shared" si="42"/>
        <v>4026.4560845825727</v>
      </c>
      <c r="P77" s="123">
        <f t="shared" si="43"/>
        <v>1.0005973178339769</v>
      </c>
      <c r="Q77" s="123">
        <f t="shared" si="44"/>
        <v>30.353035025542571</v>
      </c>
      <c r="R77" s="123">
        <f t="shared" si="45"/>
        <v>143.5111870710073</v>
      </c>
      <c r="S77" s="123">
        <f t="shared" si="46"/>
        <v>1.0000000000000011</v>
      </c>
      <c r="T77" s="123">
        <f t="shared" si="47"/>
        <v>1.0000000000000011</v>
      </c>
      <c r="U77" s="123">
        <f t="shared" si="48"/>
        <v>58103927.471346334</v>
      </c>
      <c r="V77" s="123">
        <f t="shared" si="49"/>
        <v>143.5111870710073</v>
      </c>
      <c r="W77" s="19">
        <f t="shared" si="50"/>
        <v>1.0051974408742805E-2</v>
      </c>
      <c r="X77" s="19">
        <f t="shared" si="51"/>
        <v>0.98430295045735017</v>
      </c>
      <c r="Y77" s="19">
        <f t="shared" si="52"/>
        <v>0.99988317737915977</v>
      </c>
      <c r="Z77" s="19">
        <f t="shared" si="53"/>
        <v>5.9696125837104528E-4</v>
      </c>
      <c r="AA77" s="19">
        <f t="shared" si="54"/>
        <v>0.96705436543138157</v>
      </c>
      <c r="AB77" s="19">
        <f t="shared" si="55"/>
        <v>1.0158394016673691</v>
      </c>
      <c r="AC77" s="19">
        <f t="shared" si="56"/>
        <v>1.0452146338758514E-15</v>
      </c>
      <c r="AD77" s="19">
        <f t="shared" si="57"/>
        <v>1.0452146338758514E-15</v>
      </c>
      <c r="AE77" s="19">
        <f t="shared" si="58"/>
        <v>0.99999998278945945</v>
      </c>
      <c r="AF77" s="19">
        <f t="shared" si="59"/>
        <v>1.0158394016673691</v>
      </c>
      <c r="AG77" s="123">
        <f t="shared" si="60"/>
        <v>6.3800978743966827E-2</v>
      </c>
      <c r="AH77" s="123">
        <f t="shared" si="61"/>
        <v>1.572371496663565E-4</v>
      </c>
      <c r="AI77" s="123" t="str">
        <f t="shared" si="62"/>
        <v/>
      </c>
      <c r="AJ77" s="123" t="str">
        <f t="shared" si="63"/>
        <v/>
      </c>
      <c r="AK77" s="123" t="str">
        <f t="shared" si="64"/>
        <v/>
      </c>
      <c r="AL77" s="123" t="str">
        <f t="shared" si="65"/>
        <v/>
      </c>
      <c r="AM77" s="123" t="str">
        <f t="shared" si="66"/>
        <v/>
      </c>
      <c r="AN77" s="123" t="str">
        <f t="shared" si="74"/>
        <v/>
      </c>
      <c r="AO77" s="123">
        <f t="shared" si="67"/>
        <v>3.6950923611560195E-10</v>
      </c>
      <c r="AP77" s="123" t="str">
        <f t="shared" si="68"/>
        <v/>
      </c>
      <c r="AQ77" s="131">
        <f t="shared" si="69"/>
        <v>8.5824653302186832E-2</v>
      </c>
      <c r="AR77" s="123">
        <f t="shared" si="70"/>
        <v>8.5824653302186832E-2</v>
      </c>
      <c r="AS77" s="1002"/>
      <c r="AT77" s="446">
        <v>8.5824653302186832E-2</v>
      </c>
      <c r="AU77" s="132">
        <f t="shared" si="71"/>
        <v>0.79027134417673162</v>
      </c>
      <c r="AV77" s="17"/>
      <c r="AW77" s="125">
        <f t="shared" si="72"/>
        <v>-1.2626844126330639E-2</v>
      </c>
      <c r="AX77" s="16"/>
      <c r="AY77" s="26"/>
      <c r="AZ77" s="1001"/>
      <c r="BA77" s="1001"/>
    </row>
    <row r="78" spans="1:53">
      <c r="A78" s="6">
        <v>15.102709837083239</v>
      </c>
      <c r="B78" s="512">
        <v>8.0312312097087091</v>
      </c>
      <c r="C78" s="125">
        <v>8.0005874633789062</v>
      </c>
      <c r="D78" s="124">
        <f t="shared" si="75"/>
        <v>1.1777023912457085E-8</v>
      </c>
      <c r="E78" s="124">
        <f t="shared" si="73"/>
        <v>2.318036706325743</v>
      </c>
      <c r="F78" s="125">
        <f t="shared" si="33"/>
        <v>-3.0643746329802823E-2</v>
      </c>
      <c r="G78" s="123">
        <f t="shared" si="34"/>
        <v>1.3694121873550012E-9</v>
      </c>
      <c r="H78" s="123">
        <f t="shared" si="35"/>
        <v>3.7005569680184647E-5</v>
      </c>
      <c r="I78" s="124">
        <f t="shared" si="36"/>
        <v>6.2712602319265565E-2</v>
      </c>
      <c r="J78" s="124">
        <f t="shared" si="37"/>
        <v>6.267559674958538E-2</v>
      </c>
      <c r="K78" s="125">
        <f t="shared" si="38"/>
        <v>0.4302434173081538</v>
      </c>
      <c r="L78" s="125">
        <f t="shared" si="39"/>
        <v>0.56975658269184626</v>
      </c>
      <c r="M78" s="123">
        <f t="shared" si="40"/>
        <v>1.0071375630545154</v>
      </c>
      <c r="N78" s="123">
        <f t="shared" si="41"/>
        <v>45.106558127203741</v>
      </c>
      <c r="O78" s="123">
        <f t="shared" si="42"/>
        <v>2832.4486790510077</v>
      </c>
      <c r="P78" s="123">
        <f t="shared" si="43"/>
        <v>1.0004202444859245</v>
      </c>
      <c r="Q78" s="123">
        <f t="shared" si="44"/>
        <v>21.655492609782652</v>
      </c>
      <c r="R78" s="123">
        <f t="shared" si="45"/>
        <v>100.5617263079796</v>
      </c>
      <c r="S78" s="123">
        <f t="shared" si="46"/>
        <v>1.0000000000000007</v>
      </c>
      <c r="T78" s="123">
        <f t="shared" si="47"/>
        <v>1.0000000000000007</v>
      </c>
      <c r="U78" s="123">
        <f t="shared" si="48"/>
        <v>40879166.699055575</v>
      </c>
      <c r="V78" s="123">
        <f t="shared" si="49"/>
        <v>100.5617263079796</v>
      </c>
      <c r="W78" s="19">
        <f t="shared" si="50"/>
        <v>7.0888556834674994E-3</v>
      </c>
      <c r="X78" s="19">
        <f t="shared" si="51"/>
        <v>0.97783285285339583</v>
      </c>
      <c r="Y78" s="19">
        <f t="shared" si="52"/>
        <v>0.9997394841088626</v>
      </c>
      <c r="Z78" s="19">
        <f t="shared" si="53"/>
        <v>4.2006795468275E-4</v>
      </c>
      <c r="AA78" s="19">
        <f t="shared" si="54"/>
        <v>0.95382233883941947</v>
      </c>
      <c r="AB78" s="19">
        <f t="shared" si="55"/>
        <v>1.0061637169230506</v>
      </c>
      <c r="AC78" s="19">
        <f t="shared" si="56"/>
        <v>7.3536342212493574E-16</v>
      </c>
      <c r="AD78" s="19">
        <f t="shared" si="57"/>
        <v>7.3536342212493574E-16</v>
      </c>
      <c r="AE78" s="19">
        <f t="shared" si="58"/>
        <v>0.99999997553766184</v>
      </c>
      <c r="AF78" s="19">
        <f t="shared" si="59"/>
        <v>1.0061637169230506</v>
      </c>
      <c r="AG78" s="123">
        <f t="shared" si="60"/>
        <v>6.3811968207410738E-2</v>
      </c>
      <c r="AH78" s="123">
        <f t="shared" si="61"/>
        <v>2.2166675463576203E-4</v>
      </c>
      <c r="AI78" s="123" t="str">
        <f t="shared" si="62"/>
        <v/>
      </c>
      <c r="AJ78" s="123" t="str">
        <f t="shared" si="63"/>
        <v/>
      </c>
      <c r="AK78" s="123" t="str">
        <f t="shared" si="64"/>
        <v/>
      </c>
      <c r="AL78" s="123" t="str">
        <f t="shared" si="65"/>
        <v/>
      </c>
      <c r="AM78" s="123" t="str">
        <f t="shared" si="66"/>
        <v/>
      </c>
      <c r="AN78" s="123" t="str">
        <f t="shared" si="74"/>
        <v/>
      </c>
      <c r="AO78" s="123">
        <f t="shared" si="67"/>
        <v>5.2623799853299562E-10</v>
      </c>
      <c r="AP78" s="123" t="str">
        <f t="shared" si="68"/>
        <v/>
      </c>
      <c r="AQ78" s="131">
        <f t="shared" si="69"/>
        <v>8.5941919808730741E-2</v>
      </c>
      <c r="AR78" s="123">
        <f t="shared" si="70"/>
        <v>8.5941919808730741E-2</v>
      </c>
      <c r="AS78" s="1002"/>
      <c r="AT78" s="446">
        <v>8.5941919808730741E-2</v>
      </c>
      <c r="AU78" s="132">
        <f t="shared" si="71"/>
        <v>0.79019310063038983</v>
      </c>
      <c r="AV78" s="17"/>
      <c r="AW78" s="125">
        <f t="shared" si="72"/>
        <v>-3.0643746329802823E-2</v>
      </c>
      <c r="AX78" s="16"/>
      <c r="AY78" s="26"/>
      <c r="AZ78" s="1001"/>
      <c r="BA78" s="1001"/>
    </row>
    <row r="79" spans="1:53">
      <c r="A79" s="6">
        <v>15.16410350886872</v>
      </c>
      <c r="B79" s="512">
        <v>8.1354884830845489</v>
      </c>
      <c r="C79" s="125">
        <v>8.1348800659179687</v>
      </c>
      <c r="D79" s="124">
        <f t="shared" si="75"/>
        <v>9.2639529759878726E-9</v>
      </c>
      <c r="E79" s="124">
        <f t="shared" si="73"/>
        <v>1.8311608678704774</v>
      </c>
      <c r="F79" s="125">
        <f t="shared" si="33"/>
        <v>-6.084171665801108E-4</v>
      </c>
      <c r="G79" s="123">
        <f t="shared" si="34"/>
        <v>7.5128842390024452E-13</v>
      </c>
      <c r="H79" s="123">
        <f t="shared" si="35"/>
        <v>8.6676895647008756E-7</v>
      </c>
      <c r="I79" s="124">
        <f t="shared" si="36"/>
        <v>6.2603111203627396E-2</v>
      </c>
      <c r="J79" s="124">
        <f t="shared" si="37"/>
        <v>6.2602244434670926E-2</v>
      </c>
      <c r="K79" s="125">
        <f t="shared" si="38"/>
        <v>0.43123816607592996</v>
      </c>
      <c r="L79" s="125">
        <f t="shared" si="39"/>
        <v>0.56876183392407009</v>
      </c>
      <c r="M79" s="123">
        <f t="shared" si="40"/>
        <v>1.0056127776771109</v>
      </c>
      <c r="N79" s="123">
        <f t="shared" si="41"/>
        <v>35.691860600357025</v>
      </c>
      <c r="O79" s="123">
        <f t="shared" si="42"/>
        <v>2227.8382084003697</v>
      </c>
      <c r="P79" s="123">
        <f t="shared" si="43"/>
        <v>1.0003305420315041</v>
      </c>
      <c r="Q79" s="123">
        <f t="shared" si="44"/>
        <v>17.247866494564086</v>
      </c>
      <c r="R79" s="123">
        <f t="shared" si="45"/>
        <v>79.031530399613644</v>
      </c>
      <c r="S79" s="123">
        <f t="shared" si="46"/>
        <v>1.0000000000000007</v>
      </c>
      <c r="T79" s="123">
        <f t="shared" si="47"/>
        <v>1.0000000000000007</v>
      </c>
      <c r="U79" s="123">
        <f t="shared" si="48"/>
        <v>32153385.348716136</v>
      </c>
      <c r="V79" s="123">
        <f t="shared" si="49"/>
        <v>79.031530399613644</v>
      </c>
      <c r="W79" s="19">
        <f t="shared" si="50"/>
        <v>5.5826125435883799E-3</v>
      </c>
      <c r="X79" s="19">
        <f t="shared" si="51"/>
        <v>0.97198442349412484</v>
      </c>
      <c r="Y79" s="19">
        <f t="shared" si="52"/>
        <v>0.99962391236527137</v>
      </c>
      <c r="Z79" s="19">
        <f t="shared" si="53"/>
        <v>3.3043280957189761E-4</v>
      </c>
      <c r="AA79" s="19">
        <f t="shared" si="54"/>
        <v>0.94202181467979451</v>
      </c>
      <c r="AB79" s="19">
        <f t="shared" si="55"/>
        <v>1.0000257738173899</v>
      </c>
      <c r="AC79" s="19">
        <f t="shared" si="56"/>
        <v>5.783978792893431E-16</v>
      </c>
      <c r="AD79" s="19">
        <f t="shared" si="57"/>
        <v>5.783978792893431E-16</v>
      </c>
      <c r="AE79" s="19">
        <f t="shared" si="58"/>
        <v>0.99999996889907583</v>
      </c>
      <c r="AF79" s="19">
        <f t="shared" si="59"/>
        <v>1.0000257738173899</v>
      </c>
      <c r="AG79" s="123">
        <f t="shared" si="60"/>
        <v>6.3754063012630369E-2</v>
      </c>
      <c r="AH79" s="123">
        <f t="shared" si="61"/>
        <v>2.7963588573158094E-4</v>
      </c>
      <c r="AI79" s="123" t="str">
        <f t="shared" si="62"/>
        <v/>
      </c>
      <c r="AJ79" s="123" t="str">
        <f t="shared" si="63"/>
        <v/>
      </c>
      <c r="AK79" s="123" t="str">
        <f t="shared" si="64"/>
        <v/>
      </c>
      <c r="AL79" s="123" t="str">
        <f t="shared" si="65"/>
        <v/>
      </c>
      <c r="AM79" s="123" t="str">
        <f t="shared" si="66"/>
        <v/>
      </c>
      <c r="AN79" s="123" t="str">
        <f t="shared" si="74"/>
        <v/>
      </c>
      <c r="AO79" s="123">
        <f t="shared" si="67"/>
        <v>6.7059527542587216E-10</v>
      </c>
      <c r="AP79" s="123" t="str">
        <f t="shared" si="68"/>
        <v/>
      </c>
      <c r="AQ79" s="131">
        <f t="shared" si="69"/>
        <v>8.599121549495245E-2</v>
      </c>
      <c r="AR79" s="123">
        <f t="shared" si="70"/>
        <v>8.599121549495245E-2</v>
      </c>
      <c r="AS79" s="1002"/>
      <c r="AT79" s="446">
        <v>8.599121549495245E-2</v>
      </c>
      <c r="AU79" s="132">
        <f t="shared" si="71"/>
        <v>0.79016024426227305</v>
      </c>
      <c r="AV79" s="17"/>
      <c r="AW79" s="125">
        <f t="shared" si="72"/>
        <v>-6.084171665801108E-4</v>
      </c>
      <c r="AX79" s="16"/>
      <c r="AY79" s="26"/>
      <c r="AZ79" s="1001"/>
      <c r="BA79" s="1001"/>
    </row>
    <row r="80" spans="1:53">
      <c r="A80" s="6">
        <v>15.240280378202442</v>
      </c>
      <c r="B80" s="512">
        <v>8.2851109395244986</v>
      </c>
      <c r="C80" s="125">
        <v>8.2692489624023437</v>
      </c>
      <c r="D80" s="124">
        <f t="shared" si="75"/>
        <v>6.5645802647945882E-9</v>
      </c>
      <c r="E80" s="124">
        <f t="shared" si="73"/>
        <v>1.6569367789215488</v>
      </c>
      <c r="F80" s="125">
        <f t="shared" si="33"/>
        <v>-1.5861977122154869E-2</v>
      </c>
      <c r="G80" s="123">
        <f t="shared" si="34"/>
        <v>8.4393128217596903E-10</v>
      </c>
      <c r="H80" s="123">
        <f t="shared" si="35"/>
        <v>2.9050495386068187E-5</v>
      </c>
      <c r="I80" s="124">
        <f t="shared" si="36"/>
        <v>6.2467785690582013E-2</v>
      </c>
      <c r="J80" s="124">
        <f t="shared" si="37"/>
        <v>6.2438735195195945E-2</v>
      </c>
      <c r="K80" s="125">
        <f t="shared" si="38"/>
        <v>0.43246762553084511</v>
      </c>
      <c r="L80" s="125">
        <f t="shared" si="39"/>
        <v>0.56753237446915494</v>
      </c>
      <c r="M80" s="123">
        <f t="shared" si="40"/>
        <v>1.0039752424745405</v>
      </c>
      <c r="N80" s="123">
        <f t="shared" si="41"/>
        <v>25.579429382191645</v>
      </c>
      <c r="O80" s="123">
        <f t="shared" si="42"/>
        <v>1578.4578313185814</v>
      </c>
      <c r="P80" s="123">
        <f t="shared" si="43"/>
        <v>1.0002341915161184</v>
      </c>
      <c r="Q80" s="123">
        <f t="shared" si="44"/>
        <v>12.513489329198451</v>
      </c>
      <c r="R80" s="123">
        <f t="shared" si="45"/>
        <v>56.070591695664746</v>
      </c>
      <c r="S80" s="123">
        <f t="shared" si="46"/>
        <v>1.0000000000000004</v>
      </c>
      <c r="T80" s="123">
        <f t="shared" si="47"/>
        <v>1.0000000000000004</v>
      </c>
      <c r="U80" s="123">
        <f t="shared" si="48"/>
        <v>22780915.713626679</v>
      </c>
      <c r="V80" s="123">
        <f t="shared" si="49"/>
        <v>56.070591695664746</v>
      </c>
      <c r="W80" s="19">
        <f t="shared" si="50"/>
        <v>3.9600866316957502E-3</v>
      </c>
      <c r="X80" s="19">
        <f t="shared" si="51"/>
        <v>0.96090749865712588</v>
      </c>
      <c r="Y80" s="19">
        <f t="shared" si="52"/>
        <v>0.99941802557182824</v>
      </c>
      <c r="Z80" s="19">
        <f t="shared" si="53"/>
        <v>2.3413668329353506E-4</v>
      </c>
      <c r="AA80" s="19">
        <f t="shared" si="54"/>
        <v>0.92008623864275474</v>
      </c>
      <c r="AB80" s="19">
        <f t="shared" si="55"/>
        <v>0.99113490372746715</v>
      </c>
      <c r="AC80" s="19">
        <f t="shared" si="56"/>
        <v>4.0979924898910553E-16</v>
      </c>
      <c r="AD80" s="19">
        <f t="shared" si="57"/>
        <v>4.0979924898910553E-16</v>
      </c>
      <c r="AE80" s="19">
        <f t="shared" si="58"/>
        <v>0.99999995610360826</v>
      </c>
      <c r="AF80" s="19">
        <f t="shared" si="59"/>
        <v>0.99113490372746715</v>
      </c>
      <c r="AG80" s="123">
        <f t="shared" si="60"/>
        <v>6.3673763638829664E-2</v>
      </c>
      <c r="AH80" s="123">
        <f t="shared" si="61"/>
        <v>3.8932821278572679E-4</v>
      </c>
      <c r="AI80" s="123" t="str">
        <f t="shared" si="62"/>
        <v/>
      </c>
      <c r="AJ80" s="123" t="str">
        <f t="shared" si="63"/>
        <v/>
      </c>
      <c r="AK80" s="123" t="str">
        <f t="shared" si="64"/>
        <v/>
      </c>
      <c r="AL80" s="123" t="str">
        <f t="shared" si="65"/>
        <v/>
      </c>
      <c r="AM80" s="123" t="str">
        <f t="shared" si="66"/>
        <v/>
      </c>
      <c r="AN80" s="123" t="str">
        <f t="shared" si="74"/>
        <v/>
      </c>
      <c r="AO80" s="123">
        <f t="shared" si="67"/>
        <v>9.4918841491555911E-10</v>
      </c>
      <c r="AP80" s="123" t="str">
        <f t="shared" si="68"/>
        <v/>
      </c>
      <c r="AQ80" s="131">
        <f t="shared" si="69"/>
        <v>8.6081585197550478E-2</v>
      </c>
      <c r="AR80" s="123">
        <f t="shared" si="70"/>
        <v>8.6081585197550478E-2</v>
      </c>
      <c r="AS80" s="1002"/>
      <c r="AT80" s="446">
        <v>8.6081585197550478E-2</v>
      </c>
      <c r="AU80" s="132">
        <f t="shared" si="71"/>
        <v>0.79010006528761689</v>
      </c>
      <c r="AV80" s="17"/>
      <c r="AW80" s="125">
        <f t="shared" si="72"/>
        <v>-1.5861977122154869E-2</v>
      </c>
      <c r="AX80" s="16"/>
      <c r="AY80" s="26"/>
      <c r="AZ80" s="1001"/>
      <c r="BA80" s="1001"/>
    </row>
    <row r="81" spans="1:53">
      <c r="A81" s="6">
        <v>15.337496060237754</v>
      </c>
      <c r="B81" s="512">
        <v>8.4163256715274422</v>
      </c>
      <c r="C81" s="125">
        <v>8.4039230346679687</v>
      </c>
      <c r="D81" s="124">
        <f t="shared" si="75"/>
        <v>4.8530737535665505E-9</v>
      </c>
      <c r="E81" s="124">
        <f t="shared" si="73"/>
        <v>1.0728061310714274</v>
      </c>
      <c r="F81" s="125">
        <f t="shared" si="33"/>
        <v>-1.2402636859473404E-2</v>
      </c>
      <c r="G81" s="123">
        <f t="shared" si="34"/>
        <v>8.4044920818400502E-10</v>
      </c>
      <c r="H81" s="123">
        <f t="shared" si="35"/>
        <v>2.8990502034011156E-5</v>
      </c>
      <c r="I81" s="124">
        <f t="shared" si="36"/>
        <v>6.2295932869408897E-2</v>
      </c>
      <c r="J81" s="124">
        <f t="shared" si="37"/>
        <v>6.2266942367374886E-2</v>
      </c>
      <c r="K81" s="125">
        <f t="shared" si="38"/>
        <v>0.43402894291357896</v>
      </c>
      <c r="L81" s="125">
        <f t="shared" si="39"/>
        <v>0.56597105708642104</v>
      </c>
      <c r="M81" s="123">
        <f t="shared" si="40"/>
        <v>1.0029377096727305</v>
      </c>
      <c r="N81" s="123">
        <f t="shared" si="41"/>
        <v>19.169050722046421</v>
      </c>
      <c r="O81" s="123">
        <f t="shared" si="42"/>
        <v>1166.9050980530333</v>
      </c>
      <c r="P81" s="123">
        <f t="shared" si="43"/>
        <v>1.0001731138302365</v>
      </c>
      <c r="Q81" s="123">
        <f t="shared" si="44"/>
        <v>9.5117114303803802</v>
      </c>
      <c r="R81" s="123">
        <f t="shared" si="45"/>
        <v>41.606486096236381</v>
      </c>
      <c r="S81" s="123">
        <f t="shared" si="46"/>
        <v>1.0000000000000002</v>
      </c>
      <c r="T81" s="123">
        <f t="shared" si="47"/>
        <v>1.0000000000000002</v>
      </c>
      <c r="U81" s="123">
        <f t="shared" si="48"/>
        <v>16839600.776000354</v>
      </c>
      <c r="V81" s="123">
        <f t="shared" si="49"/>
        <v>41.606486096236381</v>
      </c>
      <c r="W81" s="19">
        <f t="shared" si="50"/>
        <v>2.9294242152577859E-3</v>
      </c>
      <c r="X81" s="19">
        <f t="shared" si="51"/>
        <v>0.94783360561609109</v>
      </c>
      <c r="Y81" s="19">
        <f t="shared" si="52"/>
        <v>0.99918113385082175</v>
      </c>
      <c r="Z81" s="19">
        <f t="shared" si="53"/>
        <v>1.7308386702538013E-4</v>
      </c>
      <c r="AA81" s="19">
        <f t="shared" si="54"/>
        <v>0.89486644886996858</v>
      </c>
      <c r="AB81" s="19">
        <f t="shared" si="55"/>
        <v>0.98256944250459255</v>
      </c>
      <c r="AC81" s="19">
        <f t="shared" si="56"/>
        <v>3.0292266259750347E-16</v>
      </c>
      <c r="AD81" s="19">
        <f t="shared" si="57"/>
        <v>3.0292266259750347E-16</v>
      </c>
      <c r="AE81" s="19">
        <f t="shared" si="58"/>
        <v>0.99999994061616937</v>
      </c>
      <c r="AF81" s="19">
        <f t="shared" si="59"/>
        <v>0.98256944250459255</v>
      </c>
      <c r="AG81" s="123">
        <f t="shared" si="60"/>
        <v>6.3535028188857909E-2</v>
      </c>
      <c r="AH81" s="123">
        <f t="shared" si="61"/>
        <v>5.1808687373693075E-4</v>
      </c>
      <c r="AI81" s="123" t="str">
        <f t="shared" si="62"/>
        <v/>
      </c>
      <c r="AJ81" s="123" t="str">
        <f t="shared" si="63"/>
        <v/>
      </c>
      <c r="AK81" s="123" t="str">
        <f t="shared" si="64"/>
        <v/>
      </c>
      <c r="AL81" s="123" t="str">
        <f t="shared" si="65"/>
        <v/>
      </c>
      <c r="AM81" s="123" t="str">
        <f t="shared" si="66"/>
        <v/>
      </c>
      <c r="AN81" s="123" t="str">
        <f t="shared" si="74"/>
        <v/>
      </c>
      <c r="AO81" s="123">
        <f t="shared" si="67"/>
        <v>1.288715061262477E-9</v>
      </c>
      <c r="AP81" s="123" t="str">
        <f t="shared" si="68"/>
        <v/>
      </c>
      <c r="AQ81" s="131">
        <f t="shared" si="69"/>
        <v>8.6149023635440553E-2</v>
      </c>
      <c r="AR81" s="123">
        <f t="shared" si="70"/>
        <v>8.6149023635440553E-2</v>
      </c>
      <c r="AS81" s="1002"/>
      <c r="AT81" s="446">
        <v>8.6149023635440553E-2</v>
      </c>
      <c r="AU81" s="132">
        <f t="shared" si="71"/>
        <v>0.79005520207041413</v>
      </c>
      <c r="AV81" s="17"/>
      <c r="AW81" s="125">
        <f t="shared" si="72"/>
        <v>-1.2402636859473404E-2</v>
      </c>
      <c r="AX81" s="16"/>
      <c r="AY81" s="26"/>
      <c r="AZ81" s="1001"/>
      <c r="BA81" s="1001"/>
    </row>
    <row r="82" spans="1:53">
      <c r="A82" s="6">
        <v>15.463084501971025</v>
      </c>
      <c r="B82" s="512">
        <v>8.5162795307449155</v>
      </c>
      <c r="C82" s="125">
        <v>8.5389633178710937</v>
      </c>
      <c r="D82" s="124">
        <f t="shared" si="75"/>
        <v>3.8554032581030811E-9</v>
      </c>
      <c r="E82" s="124">
        <f t="shared" si="73"/>
        <v>0.99816342344360975</v>
      </c>
      <c r="F82" s="125">
        <f t="shared" si="33"/>
        <v>2.2683787126178245E-2</v>
      </c>
      <c r="G82" s="123">
        <f t="shared" si="34"/>
        <v>4.355582968266577E-9</v>
      </c>
      <c r="H82" s="123">
        <f t="shared" si="35"/>
        <v>-6.5996840593066097E-5</v>
      </c>
      <c r="I82" s="124">
        <f t="shared" si="36"/>
        <v>6.2075318976250377E-2</v>
      </c>
      <c r="J82" s="124">
        <f t="shared" si="37"/>
        <v>6.2141315816843443E-2</v>
      </c>
      <c r="K82" s="125">
        <f t="shared" si="38"/>
        <v>0.43603326442491463</v>
      </c>
      <c r="L82" s="125">
        <f t="shared" si="39"/>
        <v>0.56396673557508537</v>
      </c>
      <c r="M82" s="123">
        <f t="shared" si="40"/>
        <v>1.0023335192458209</v>
      </c>
      <c r="N82" s="123">
        <f t="shared" si="41"/>
        <v>15.433494907255072</v>
      </c>
      <c r="O82" s="123">
        <f t="shared" si="42"/>
        <v>927.15911150888144</v>
      </c>
      <c r="P82" s="123">
        <f t="shared" si="43"/>
        <v>1.0001375216671136</v>
      </c>
      <c r="Q82" s="123">
        <f t="shared" si="44"/>
        <v>7.7619166011241916</v>
      </c>
      <c r="R82" s="123">
        <f t="shared" si="45"/>
        <v>33.211917869929266</v>
      </c>
      <c r="S82" s="123">
        <f t="shared" si="46"/>
        <v>1.0000000000000002</v>
      </c>
      <c r="T82" s="123">
        <f t="shared" si="47"/>
        <v>1.0000000000000002</v>
      </c>
      <c r="U82" s="123">
        <f t="shared" si="48"/>
        <v>13377382.989388358</v>
      </c>
      <c r="V82" s="123">
        <f t="shared" si="49"/>
        <v>33.211917869929266</v>
      </c>
      <c r="W82" s="19">
        <f t="shared" si="50"/>
        <v>2.3282882788031077E-3</v>
      </c>
      <c r="X82" s="19">
        <f t="shared" si="51"/>
        <v>0.93520666911667238</v>
      </c>
      <c r="Y82" s="19">
        <f t="shared" si="52"/>
        <v>0.9989516978946168</v>
      </c>
      <c r="Z82" s="19">
        <f t="shared" si="53"/>
        <v>1.3750275750510323E-4</v>
      </c>
      <c r="AA82" s="19">
        <f t="shared" si="54"/>
        <v>0.87116584068229153</v>
      </c>
      <c r="AB82" s="19">
        <f t="shared" si="55"/>
        <v>0.97511127763543981</v>
      </c>
      <c r="AC82" s="19">
        <f t="shared" si="56"/>
        <v>2.4064183381463982E-16</v>
      </c>
      <c r="AD82" s="19">
        <f t="shared" si="57"/>
        <v>2.4064183381463982E-16</v>
      </c>
      <c r="AE82" s="19">
        <f t="shared" si="58"/>
        <v>0.99999992524696346</v>
      </c>
      <c r="AF82" s="19">
        <f t="shared" si="59"/>
        <v>0.97511127763543981</v>
      </c>
      <c r="AG82" s="123">
        <f t="shared" si="60"/>
        <v>6.3331202282701213E-2</v>
      </c>
      <c r="AH82" s="123">
        <f t="shared" si="61"/>
        <v>6.4120221847121161E-4</v>
      </c>
      <c r="AI82" s="123" t="str">
        <f t="shared" si="62"/>
        <v/>
      </c>
      <c r="AJ82" s="123" t="str">
        <f t="shared" si="63"/>
        <v/>
      </c>
      <c r="AK82" s="123" t="str">
        <f t="shared" si="64"/>
        <v/>
      </c>
      <c r="AL82" s="123" t="str">
        <f t="shared" si="65"/>
        <v/>
      </c>
      <c r="AM82" s="123" t="str">
        <f t="shared" si="66"/>
        <v/>
      </c>
      <c r="AN82" s="123" t="str">
        <f t="shared" si="74"/>
        <v/>
      </c>
      <c r="AO82" s="123">
        <f t="shared" si="67"/>
        <v>1.6297405283634292E-9</v>
      </c>
      <c r="AP82" s="123" t="str">
        <f t="shared" si="68"/>
        <v/>
      </c>
      <c r="AQ82" s="131">
        <f t="shared" si="69"/>
        <v>8.6167568102652317E-2</v>
      </c>
      <c r="AR82" s="123">
        <f t="shared" si="70"/>
        <v>8.6167568102652317E-2</v>
      </c>
      <c r="AS82" s="1002"/>
      <c r="AT82" s="446">
        <v>8.6167568102652317E-2</v>
      </c>
      <c r="AU82" s="132">
        <f t="shared" si="71"/>
        <v>0.79004287220992675</v>
      </c>
      <c r="AV82" s="17"/>
      <c r="AW82" s="125">
        <f t="shared" si="72"/>
        <v>2.2683787126178245E-2</v>
      </c>
      <c r="AX82" s="16"/>
      <c r="AY82" s="26"/>
      <c r="AZ82" s="1001"/>
      <c r="BA82" s="1001"/>
    </row>
    <row r="83" spans="1:53">
      <c r="A83" s="6">
        <v>15.625451547384728</v>
      </c>
      <c r="B83" s="512">
        <v>8.7111918529670387</v>
      </c>
      <c r="C83" s="125">
        <v>8.6742782592773437</v>
      </c>
      <c r="D83" s="124">
        <f t="shared" si="75"/>
        <v>2.4616575319115419E-9</v>
      </c>
      <c r="E83" s="124">
        <f t="shared" si="73"/>
        <v>0.83167890294500124</v>
      </c>
      <c r="F83" s="125">
        <f t="shared" si="33"/>
        <v>-3.6913593689694935E-2</v>
      </c>
      <c r="G83" s="123">
        <f t="shared" si="34"/>
        <v>2.1118532374855084E-8</v>
      </c>
      <c r="H83" s="123">
        <f t="shared" si="35"/>
        <v>1.453221675273772E-4</v>
      </c>
      <c r="I83" s="124">
        <f t="shared" si="36"/>
        <v>6.1792403653145457E-2</v>
      </c>
      <c r="J83" s="124">
        <f t="shared" si="37"/>
        <v>6.164708148561808E-2</v>
      </c>
      <c r="K83" s="125">
        <f t="shared" si="38"/>
        <v>0.4386036069353848</v>
      </c>
      <c r="L83" s="125">
        <f t="shared" si="39"/>
        <v>0.5613963930646152</v>
      </c>
      <c r="M83" s="123">
        <f t="shared" si="40"/>
        <v>1.0014884516150488</v>
      </c>
      <c r="N83" s="123">
        <f t="shared" si="41"/>
        <v>10.212741809276372</v>
      </c>
      <c r="O83" s="123">
        <f t="shared" si="42"/>
        <v>591.95999992776774</v>
      </c>
      <c r="P83" s="123">
        <f t="shared" si="43"/>
        <v>1.0000877786021858</v>
      </c>
      <c r="Q83" s="123">
        <f t="shared" si="44"/>
        <v>5.3174531474315661</v>
      </c>
      <c r="R83" s="123">
        <f t="shared" si="45"/>
        <v>21.513859888474112</v>
      </c>
      <c r="S83" s="123">
        <f t="shared" si="46"/>
        <v>1.0000000000000002</v>
      </c>
      <c r="T83" s="123">
        <f t="shared" si="47"/>
        <v>1.0000000000000002</v>
      </c>
      <c r="U83" s="123">
        <f t="shared" si="48"/>
        <v>8538640.1583171729</v>
      </c>
      <c r="V83" s="123">
        <f t="shared" si="49"/>
        <v>21.513859888474112</v>
      </c>
      <c r="W83" s="19">
        <f t="shared" si="50"/>
        <v>1.4863215712268027E-3</v>
      </c>
      <c r="X83" s="19">
        <f t="shared" si="51"/>
        <v>0.90208359894255319</v>
      </c>
      <c r="Y83" s="19">
        <f t="shared" si="52"/>
        <v>0.99833000060974653</v>
      </c>
      <c r="Z83" s="19">
        <f t="shared" si="53"/>
        <v>8.7770897778990183E-5</v>
      </c>
      <c r="AA83" s="19">
        <f t="shared" si="54"/>
        <v>0.81194004492864791</v>
      </c>
      <c r="AB83" s="19">
        <f t="shared" si="55"/>
        <v>0.95680095178835856</v>
      </c>
      <c r="AC83" s="19">
        <f t="shared" si="56"/>
        <v>1.5359909636752153E-16</v>
      </c>
      <c r="AD83" s="19">
        <f t="shared" si="57"/>
        <v>1.5359909636752153E-16</v>
      </c>
      <c r="AE83" s="19">
        <f t="shared" si="58"/>
        <v>0.99999988288533281</v>
      </c>
      <c r="AF83" s="19">
        <f t="shared" si="59"/>
        <v>0.95680095178835856</v>
      </c>
      <c r="AG83" s="123">
        <f t="shared" si="60"/>
        <v>6.3072088387761474E-2</v>
      </c>
      <c r="AH83" s="123">
        <f t="shared" si="61"/>
        <v>9.6456138293919691E-4</v>
      </c>
      <c r="AI83" s="123" t="str">
        <f t="shared" si="62"/>
        <v/>
      </c>
      <c r="AJ83" s="123" t="str">
        <f t="shared" si="63"/>
        <v/>
      </c>
      <c r="AK83" s="123" t="str">
        <f t="shared" si="64"/>
        <v/>
      </c>
      <c r="AL83" s="123" t="str">
        <f t="shared" si="65"/>
        <v/>
      </c>
      <c r="AM83" s="123" t="str">
        <f t="shared" si="66"/>
        <v/>
      </c>
      <c r="AN83" s="123" t="str">
        <f t="shared" si="74"/>
        <v/>
      </c>
      <c r="AO83" s="123">
        <f t="shared" si="67"/>
        <v>2.568345771710249E-9</v>
      </c>
      <c r="AP83" s="123" t="str">
        <f t="shared" si="68"/>
        <v/>
      </c>
      <c r="AQ83" s="131">
        <f t="shared" si="69"/>
        <v>8.635973248091984E-2</v>
      </c>
      <c r="AR83" s="123">
        <f t="shared" si="70"/>
        <v>8.635973248091984E-2</v>
      </c>
      <c r="AS83" s="1002"/>
      <c r="AT83" s="446">
        <v>8.635973248091984E-2</v>
      </c>
      <c r="AU83" s="132">
        <f t="shared" si="71"/>
        <v>0.78991527791782301</v>
      </c>
      <c r="AV83" s="17"/>
      <c r="AW83" s="125">
        <f t="shared" si="72"/>
        <v>-3.6913593689694935E-2</v>
      </c>
      <c r="AX83" s="16"/>
      <c r="AY83" s="26"/>
      <c r="AZ83" s="1001"/>
      <c r="BA83" s="1001"/>
    </row>
    <row r="84" spans="1:53">
      <c r="A84" s="6">
        <v>15.83374493784504</v>
      </c>
      <c r="B84" s="512">
        <v>8.8076140254745106</v>
      </c>
      <c r="C84" s="125">
        <v>8.8099288940429687</v>
      </c>
      <c r="D84" s="124">
        <f t="shared" si="75"/>
        <v>1.9715555173839463E-9</v>
      </c>
      <c r="E84" s="124">
        <f t="shared" si="73"/>
        <v>0.47433538667689767</v>
      </c>
      <c r="F84" s="125">
        <f t="shared" si="33"/>
        <v>2.3148685684581949E-3</v>
      </c>
      <c r="G84" s="123">
        <f t="shared" si="34"/>
        <v>1.234329399522945E-10</v>
      </c>
      <c r="H84" s="123">
        <f t="shared" si="35"/>
        <v>-1.1110037801569106E-5</v>
      </c>
      <c r="I84" s="124">
        <f t="shared" si="36"/>
        <v>6.1433218497255915E-2</v>
      </c>
      <c r="J84" s="124">
        <f t="shared" si="37"/>
        <v>6.1444328535057484E-2</v>
      </c>
      <c r="K84" s="125">
        <f t="shared" si="38"/>
        <v>0.44186687618916914</v>
      </c>
      <c r="L84" s="125">
        <f t="shared" si="39"/>
        <v>0.55813312381083091</v>
      </c>
      <c r="M84" s="123">
        <f t="shared" si="40"/>
        <v>1.0011920377759516</v>
      </c>
      <c r="N84" s="123">
        <f t="shared" si="41"/>
        <v>8.3784158706796461</v>
      </c>
      <c r="O84" s="123">
        <f t="shared" si="42"/>
        <v>474.28592696881304</v>
      </c>
      <c r="P84" s="123">
        <f t="shared" si="43"/>
        <v>1.0000703012323522</v>
      </c>
      <c r="Q84" s="123">
        <f t="shared" si="44"/>
        <v>4.4578727802382483</v>
      </c>
      <c r="R84" s="123">
        <f t="shared" si="45"/>
        <v>17.417868432420438</v>
      </c>
      <c r="S84" s="123">
        <f t="shared" si="46"/>
        <v>1.0000000000000002</v>
      </c>
      <c r="T84" s="123">
        <f t="shared" si="47"/>
        <v>1.0000000000000002</v>
      </c>
      <c r="U84" s="123">
        <f t="shared" si="48"/>
        <v>6838533.8598750243</v>
      </c>
      <c r="V84" s="123">
        <f t="shared" si="49"/>
        <v>17.417868432420438</v>
      </c>
      <c r="W84" s="19">
        <f t="shared" si="50"/>
        <v>1.1906712211198535E-3</v>
      </c>
      <c r="X84" s="19">
        <f t="shared" si="51"/>
        <v>0.88064608408338507</v>
      </c>
      <c r="Y84" s="19">
        <f t="shared" si="52"/>
        <v>0.99790702116275076</v>
      </c>
      <c r="Z84" s="19">
        <f t="shared" si="53"/>
        <v>7.0296290436402338E-5</v>
      </c>
      <c r="AA84" s="19">
        <f t="shared" si="54"/>
        <v>0.77567776172684866</v>
      </c>
      <c r="AB84" s="19">
        <f t="shared" si="55"/>
        <v>0.94518836086186486</v>
      </c>
      <c r="AC84" s="19">
        <f t="shared" si="56"/>
        <v>1.2301637863830192E-16</v>
      </c>
      <c r="AD84" s="19">
        <f t="shared" si="57"/>
        <v>1.2301637863830192E-16</v>
      </c>
      <c r="AE84" s="19">
        <f t="shared" si="58"/>
        <v>0.99999985376982548</v>
      </c>
      <c r="AF84" s="19">
        <f t="shared" si="59"/>
        <v>0.94518836086186486</v>
      </c>
      <c r="AG84" s="123">
        <f t="shared" si="60"/>
        <v>6.2715772201771935E-2</v>
      </c>
      <c r="AH84" s="123">
        <f t="shared" si="61"/>
        <v>1.1689009158601426E-3</v>
      </c>
      <c r="AI84" s="123" t="str">
        <f t="shared" si="62"/>
        <v/>
      </c>
      <c r="AJ84" s="123" t="str">
        <f t="shared" si="63"/>
        <v/>
      </c>
      <c r="AK84" s="123" t="str">
        <f t="shared" si="64"/>
        <v/>
      </c>
      <c r="AL84" s="123" t="str">
        <f t="shared" si="65"/>
        <v/>
      </c>
      <c r="AM84" s="123" t="str">
        <f t="shared" si="66"/>
        <v/>
      </c>
      <c r="AN84" s="123" t="str">
        <f t="shared" si="74"/>
        <v/>
      </c>
      <c r="AO84" s="123">
        <f t="shared" si="67"/>
        <v>3.2307135216644552E-9</v>
      </c>
      <c r="AP84" s="123" t="str">
        <f t="shared" si="68"/>
        <v/>
      </c>
      <c r="AQ84" s="131">
        <f t="shared" si="69"/>
        <v>8.6369469812898655E-2</v>
      </c>
      <c r="AR84" s="123">
        <f t="shared" si="70"/>
        <v>8.6369469812898655E-2</v>
      </c>
      <c r="AS84" s="1002"/>
      <c r="AT84" s="446">
        <v>8.6369469812898655E-2</v>
      </c>
      <c r="AU84" s="132">
        <f t="shared" si="71"/>
        <v>0.78990882081883473</v>
      </c>
      <c r="AV84" s="17"/>
      <c r="AW84" s="125">
        <f t="shared" si="72"/>
        <v>2.3148685684581949E-3</v>
      </c>
      <c r="AX84" s="16"/>
      <c r="AY84" s="26"/>
      <c r="AZ84" s="1001"/>
      <c r="BA84" s="1001"/>
    </row>
    <row r="85" spans="1:53">
      <c r="A85" s="6">
        <v>16.097023374459241</v>
      </c>
      <c r="B85" s="512">
        <v>8.9355029984547709</v>
      </c>
      <c r="C85" s="125">
        <v>8.9457473754882812</v>
      </c>
      <c r="D85" s="124">
        <f t="shared" si="75"/>
        <v>1.4687580524051246E-9</v>
      </c>
      <c r="E85" s="124">
        <f t="shared" si="73"/>
        <v>0.45565432256897198</v>
      </c>
      <c r="F85" s="125">
        <f t="shared" si="33"/>
        <v>1.0244377033510332E-2</v>
      </c>
      <c r="G85" s="123">
        <f t="shared" si="34"/>
        <v>3.6960533635643775E-9</v>
      </c>
      <c r="H85" s="123">
        <f t="shared" si="35"/>
        <v>-6.0795175495793885E-5</v>
      </c>
      <c r="I85" s="124">
        <f t="shared" si="36"/>
        <v>6.0985147154797796E-2</v>
      </c>
      <c r="J85" s="124">
        <f t="shared" si="37"/>
        <v>6.104594233029359E-2</v>
      </c>
      <c r="K85" s="125">
        <f t="shared" si="38"/>
        <v>0.4459376942933424</v>
      </c>
      <c r="L85" s="125">
        <f t="shared" si="39"/>
        <v>0.5540623057066576</v>
      </c>
      <c r="M85" s="123">
        <f t="shared" si="40"/>
        <v>1.000887656679081</v>
      </c>
      <c r="N85" s="123">
        <f t="shared" si="41"/>
        <v>6.4959640752993746</v>
      </c>
      <c r="O85" s="123">
        <f t="shared" si="42"/>
        <v>353.48629361441698</v>
      </c>
      <c r="P85" s="123">
        <f t="shared" si="43"/>
        <v>1.0000523653176672</v>
      </c>
      <c r="Q85" s="123">
        <f t="shared" si="44"/>
        <v>3.5760261100364272</v>
      </c>
      <c r="R85" s="123">
        <f t="shared" si="45"/>
        <v>13.218877580478209</v>
      </c>
      <c r="S85" s="123">
        <f t="shared" si="46"/>
        <v>1</v>
      </c>
      <c r="T85" s="123">
        <f t="shared" si="47"/>
        <v>1</v>
      </c>
      <c r="U85" s="123">
        <f t="shared" si="48"/>
        <v>5093822.7382891905</v>
      </c>
      <c r="V85" s="123">
        <f t="shared" si="49"/>
        <v>13.218877580478209</v>
      </c>
      <c r="W85" s="19">
        <f t="shared" si="50"/>
        <v>8.8689868392017061E-4</v>
      </c>
      <c r="X85" s="19">
        <f t="shared" si="51"/>
        <v>0.84605854015522075</v>
      </c>
      <c r="Y85" s="19">
        <f t="shared" si="52"/>
        <v>0.99718253892517994</v>
      </c>
      <c r="Z85" s="19">
        <f t="shared" si="53"/>
        <v>5.2362575684212633E-5</v>
      </c>
      <c r="AA85" s="19">
        <f t="shared" si="54"/>
        <v>0.72035998361605547</v>
      </c>
      <c r="AB85" s="19">
        <f t="shared" si="55"/>
        <v>0.92625163061281202</v>
      </c>
      <c r="AC85" s="19">
        <f t="shared" si="56"/>
        <v>9.1631277718861176E-17</v>
      </c>
      <c r="AD85" s="19">
        <f t="shared" si="57"/>
        <v>9.1631277718861176E-17</v>
      </c>
      <c r="AE85" s="19">
        <f t="shared" si="58"/>
        <v>0.99999980368378494</v>
      </c>
      <c r="AF85" s="19">
        <f t="shared" si="59"/>
        <v>0.92625163061281202</v>
      </c>
      <c r="AG85" s="123">
        <f t="shared" si="60"/>
        <v>6.2268859888631803E-2</v>
      </c>
      <c r="AH85" s="123">
        <f t="shared" si="61"/>
        <v>1.4966359587439129E-3</v>
      </c>
      <c r="AI85" s="123" t="str">
        <f t="shared" si="62"/>
        <v/>
      </c>
      <c r="AJ85" s="123" t="str">
        <f t="shared" si="63"/>
        <v/>
      </c>
      <c r="AK85" s="123" t="str">
        <f t="shared" si="64"/>
        <v/>
      </c>
      <c r="AL85" s="123" t="str">
        <f t="shared" si="65"/>
        <v/>
      </c>
      <c r="AM85" s="123" t="str">
        <f t="shared" si="66"/>
        <v/>
      </c>
      <c r="AN85" s="123" t="str">
        <f t="shared" si="74"/>
        <v/>
      </c>
      <c r="AO85" s="123">
        <f t="shared" si="67"/>
        <v>4.3772400140794343E-9</v>
      </c>
      <c r="AP85" s="123" t="str">
        <f t="shared" si="68"/>
        <v/>
      </c>
      <c r="AQ85" s="131">
        <f t="shared" si="69"/>
        <v>8.6452410913409494E-2</v>
      </c>
      <c r="AR85" s="123">
        <f t="shared" si="70"/>
        <v>8.6452410913409494E-2</v>
      </c>
      <c r="AS85" s="1002"/>
      <c r="AT85" s="446">
        <v>8.6452410913409494E-2</v>
      </c>
      <c r="AU85" s="132">
        <f t="shared" si="71"/>
        <v>0.7898538528060659</v>
      </c>
      <c r="AV85" s="17"/>
      <c r="AW85" s="125">
        <f t="shared" si="72"/>
        <v>1.0244377033510332E-2</v>
      </c>
      <c r="AX85" s="16"/>
      <c r="AY85" s="26"/>
      <c r="AZ85" s="1001"/>
      <c r="BA85" s="1001"/>
    </row>
    <row r="86" spans="1:53">
      <c r="A86" s="6">
        <v>16.422776044055354</v>
      </c>
      <c r="B86" s="512">
        <v>9.0741280413936671</v>
      </c>
      <c r="C86" s="125">
        <v>9.0817184448242187</v>
      </c>
      <c r="D86" s="124">
        <f t="shared" si="75"/>
        <v>1.0675119894479338E-9</v>
      </c>
      <c r="E86" s="124">
        <f t="shared" si="73"/>
        <v>0.39395823176258093</v>
      </c>
      <c r="F86" s="125">
        <f t="shared" si="33"/>
        <v>7.5904034305516177E-3</v>
      </c>
      <c r="G86" s="123">
        <f t="shared" si="34"/>
        <v>2.9816901088864843E-9</v>
      </c>
      <c r="H86" s="123">
        <f t="shared" si="35"/>
        <v>-5.4604854261196267E-5</v>
      </c>
      <c r="I86" s="124">
        <f t="shared" si="36"/>
        <v>6.0439717161560644E-2</v>
      </c>
      <c r="J86" s="124">
        <f t="shared" si="37"/>
        <v>6.049432201582184E-2</v>
      </c>
      <c r="K86" s="125">
        <f t="shared" si="38"/>
        <v>0.45089303528624786</v>
      </c>
      <c r="L86" s="125">
        <f t="shared" si="39"/>
        <v>0.54910696471375209</v>
      </c>
      <c r="M86" s="123">
        <f t="shared" si="40"/>
        <v>1.0006447306957289</v>
      </c>
      <c r="N86" s="123">
        <f t="shared" si="41"/>
        <v>4.9936615738803338</v>
      </c>
      <c r="O86" s="123">
        <f t="shared" si="42"/>
        <v>257.07854334299441</v>
      </c>
      <c r="P86" s="123">
        <f t="shared" si="43"/>
        <v>1.0000380514451863</v>
      </c>
      <c r="Q86" s="123">
        <f t="shared" si="44"/>
        <v>2.872288463775039</v>
      </c>
      <c r="R86" s="123">
        <f t="shared" si="45"/>
        <v>9.8719569600888519</v>
      </c>
      <c r="S86" s="123">
        <f t="shared" si="46"/>
        <v>1</v>
      </c>
      <c r="T86" s="123">
        <f t="shared" si="47"/>
        <v>1</v>
      </c>
      <c r="U86" s="123">
        <f t="shared" si="48"/>
        <v>3701444.7665625289</v>
      </c>
      <c r="V86" s="123">
        <f t="shared" si="49"/>
        <v>9.8719569600888519</v>
      </c>
      <c r="W86" s="19">
        <f t="shared" si="50"/>
        <v>6.4433071917065676E-4</v>
      </c>
      <c r="X86" s="19">
        <f t="shared" si="51"/>
        <v>0.79974633227030845</v>
      </c>
      <c r="Y86" s="19">
        <f t="shared" si="52"/>
        <v>0.99611848799778757</v>
      </c>
      <c r="Z86" s="19">
        <f t="shared" si="53"/>
        <v>3.804999732886158E-5</v>
      </c>
      <c r="AA86" s="19">
        <f t="shared" si="54"/>
        <v>0.65184555360233432</v>
      </c>
      <c r="AB86" s="19">
        <f t="shared" si="55"/>
        <v>0.90004677064491112</v>
      </c>
      <c r="AC86" s="19">
        <f t="shared" si="56"/>
        <v>6.6584195356683074E-17</v>
      </c>
      <c r="AD86" s="19">
        <f t="shared" si="57"/>
        <v>6.6584195356683074E-17</v>
      </c>
      <c r="AE86" s="19">
        <f t="shared" si="58"/>
        <v>0.99999972983522301</v>
      </c>
      <c r="AF86" s="19">
        <f t="shared" si="59"/>
        <v>0.90004677064491112</v>
      </c>
      <c r="AG86" s="123">
        <f t="shared" si="60"/>
        <v>6.17202690253323E-2</v>
      </c>
      <c r="AH86" s="123">
        <f t="shared" si="61"/>
        <v>1.9294727993406462E-3</v>
      </c>
      <c r="AI86" s="123" t="str">
        <f t="shared" si="62"/>
        <v/>
      </c>
      <c r="AJ86" s="123" t="str">
        <f t="shared" si="63"/>
        <v/>
      </c>
      <c r="AK86" s="123" t="str">
        <f t="shared" si="64"/>
        <v/>
      </c>
      <c r="AL86" s="123" t="str">
        <f t="shared" si="65"/>
        <v/>
      </c>
      <c r="AM86" s="123" t="str">
        <f t="shared" si="66"/>
        <v/>
      </c>
      <c r="AN86" s="123" t="str">
        <f t="shared" si="74"/>
        <v/>
      </c>
      <c r="AO86" s="123">
        <f t="shared" si="67"/>
        <v>6.0907708168368109E-9</v>
      </c>
      <c r="AP86" s="123" t="str">
        <f t="shared" si="68"/>
        <v/>
      </c>
      <c r="AQ86" s="131">
        <f t="shared" si="69"/>
        <v>8.6583053209557864E-2</v>
      </c>
      <c r="AR86" s="123">
        <f t="shared" si="70"/>
        <v>8.6583053209557864E-2</v>
      </c>
      <c r="AS86" s="1002"/>
      <c r="AT86" s="446">
        <v>8.6583053209557864E-2</v>
      </c>
      <c r="AU86" s="132">
        <f t="shared" si="71"/>
        <v>0.78976738955731096</v>
      </c>
      <c r="AV86" s="17"/>
      <c r="AW86" s="125">
        <f t="shared" si="72"/>
        <v>7.5904034305516177E-3</v>
      </c>
      <c r="AX86" s="16"/>
      <c r="AY86" s="26"/>
      <c r="AZ86" s="1001"/>
      <c r="BA86" s="1001"/>
    </row>
    <row r="87" spans="1:53">
      <c r="A87" s="6">
        <v>16.814808531489689</v>
      </c>
      <c r="B87" s="512">
        <v>9.2161862707342443</v>
      </c>
      <c r="C87" s="125">
        <v>9.2177658081054687</v>
      </c>
      <c r="D87" s="124">
        <f t="shared" si="75"/>
        <v>7.6979587981523868E-10</v>
      </c>
      <c r="E87" s="124">
        <f t="shared" si="73"/>
        <v>0.3550392573377037</v>
      </c>
      <c r="F87" s="125">
        <f t="shared" si="33"/>
        <v>1.5795373712244043E-3</v>
      </c>
      <c r="G87" s="123">
        <f t="shared" si="34"/>
        <v>1.804169316426079E-10</v>
      </c>
      <c r="H87" s="123">
        <f t="shared" si="35"/>
        <v>-1.3431937002629513E-5</v>
      </c>
      <c r="I87" s="124">
        <f t="shared" si="36"/>
        <v>5.9796108418127762E-2</v>
      </c>
      <c r="J87" s="124">
        <f t="shared" si="37"/>
        <v>5.9809540355130392E-2</v>
      </c>
      <c r="K87" s="125">
        <f t="shared" si="38"/>
        <v>0.45674034993573515</v>
      </c>
      <c r="L87" s="125">
        <f t="shared" si="39"/>
        <v>0.5432596500642648</v>
      </c>
      <c r="M87" s="123">
        <f t="shared" si="40"/>
        <v>1.0004645280692845</v>
      </c>
      <c r="N87" s="123">
        <f t="shared" si="41"/>
        <v>3.8790681895660191</v>
      </c>
      <c r="O87" s="123">
        <f t="shared" si="42"/>
        <v>185.55711583475937</v>
      </c>
      <c r="P87" s="123">
        <f t="shared" si="43"/>
        <v>1.0000274316465423</v>
      </c>
      <c r="Q87" s="123">
        <f t="shared" si="44"/>
        <v>2.3501299840060708</v>
      </c>
      <c r="R87" s="123">
        <f t="shared" si="45"/>
        <v>7.3914113528661485</v>
      </c>
      <c r="S87" s="123">
        <f t="shared" si="46"/>
        <v>1</v>
      </c>
      <c r="T87" s="123">
        <f t="shared" si="47"/>
        <v>1</v>
      </c>
      <c r="U87" s="123">
        <f t="shared" si="48"/>
        <v>2668406.8017706294</v>
      </c>
      <c r="V87" s="123">
        <f t="shared" si="49"/>
        <v>7.3914113528661485</v>
      </c>
      <c r="W87" s="19">
        <f t="shared" si="50"/>
        <v>4.6432039866601708E-4</v>
      </c>
      <c r="X87" s="19">
        <f t="shared" si="51"/>
        <v>0.7422062580587544</v>
      </c>
      <c r="Y87" s="19">
        <f t="shared" si="52"/>
        <v>0.99461683414597835</v>
      </c>
      <c r="Z87" s="19">
        <f t="shared" si="53"/>
        <v>2.7430894067764108E-5</v>
      </c>
      <c r="AA87" s="19">
        <f t="shared" si="54"/>
        <v>0.57449162097179696</v>
      </c>
      <c r="AB87" s="19">
        <f t="shared" si="55"/>
        <v>0.86564034922891109</v>
      </c>
      <c r="AC87" s="19">
        <f t="shared" si="56"/>
        <v>4.8001175865734952E-17</v>
      </c>
      <c r="AD87" s="19">
        <f t="shared" si="57"/>
        <v>4.8001175865734952E-17</v>
      </c>
      <c r="AE87" s="19">
        <f t="shared" si="58"/>
        <v>0.99999962524454689</v>
      </c>
      <c r="AF87" s="19">
        <f t="shared" si="59"/>
        <v>0.86564034922891109</v>
      </c>
      <c r="AG87" s="123">
        <f t="shared" si="60"/>
        <v>6.1069132716110072E-2</v>
      </c>
      <c r="AH87" s="123">
        <f t="shared" si="61"/>
        <v>2.4574271444898479E-3</v>
      </c>
      <c r="AI87" s="123" t="str">
        <f t="shared" si="62"/>
        <v/>
      </c>
      <c r="AJ87" s="123" t="str">
        <f t="shared" si="63"/>
        <v/>
      </c>
      <c r="AK87" s="123" t="str">
        <f t="shared" si="64"/>
        <v/>
      </c>
      <c r="AL87" s="123" t="str">
        <f t="shared" si="65"/>
        <v/>
      </c>
      <c r="AM87" s="123" t="str">
        <f t="shared" si="66"/>
        <v/>
      </c>
      <c r="AN87" s="123" t="str">
        <f t="shared" si="74"/>
        <v/>
      </c>
      <c r="AO87" s="123">
        <f t="shared" si="67"/>
        <v>8.5582968390101486E-9</v>
      </c>
      <c r="AP87" s="123" t="str">
        <f t="shared" si="68"/>
        <v/>
      </c>
      <c r="AQ87" s="131">
        <f t="shared" si="69"/>
        <v>8.6751108412244482E-2</v>
      </c>
      <c r="AR87" s="123">
        <f t="shared" si="70"/>
        <v>8.6751108412244482E-2</v>
      </c>
      <c r="AS87" s="1002"/>
      <c r="AT87" s="446">
        <v>8.6751108412244482E-2</v>
      </c>
      <c r="AU87" s="132">
        <f t="shared" si="71"/>
        <v>0.78965637707311986</v>
      </c>
      <c r="AV87" s="17"/>
      <c r="AW87" s="125">
        <f t="shared" si="72"/>
        <v>1.5795373712244043E-3</v>
      </c>
      <c r="AX87" s="16"/>
      <c r="AY87" s="26"/>
      <c r="AZ87" s="1001"/>
      <c r="BA87" s="1001"/>
    </row>
    <row r="88" spans="1:53">
      <c r="A88" s="6">
        <v>17.270861055294517</v>
      </c>
      <c r="B88" s="512">
        <v>9.3747626213641411</v>
      </c>
      <c r="C88" s="125">
        <v>9.3538589477539062</v>
      </c>
      <c r="D88" s="124">
        <f t="shared" si="75"/>
        <v>5.3443913374990245E-10</v>
      </c>
      <c r="E88" s="124">
        <f t="shared" si="73"/>
        <v>0.27525838712905137</v>
      </c>
      <c r="F88" s="125">
        <f t="shared" si="33"/>
        <v>-2.0903673610234819E-2</v>
      </c>
      <c r="G88" s="123">
        <f t="shared" si="34"/>
        <v>4.0583459055514676E-8</v>
      </c>
      <c r="H88" s="123">
        <f t="shared" si="35"/>
        <v>2.0145336695005789E-4</v>
      </c>
      <c r="I88" s="124">
        <f t="shared" si="36"/>
        <v>5.9064433179465137E-2</v>
      </c>
      <c r="J88" s="124">
        <f t="shared" si="37"/>
        <v>5.8862979812515079E-2</v>
      </c>
      <c r="K88" s="125">
        <f t="shared" si="38"/>
        <v>0.46338776637523116</v>
      </c>
      <c r="L88" s="125">
        <f t="shared" si="39"/>
        <v>0.53661223362476884</v>
      </c>
      <c r="M88" s="123">
        <f t="shared" si="40"/>
        <v>1.000322061057964</v>
      </c>
      <c r="N88" s="123">
        <f t="shared" si="41"/>
        <v>2.9979129313719626</v>
      </c>
      <c r="O88" s="123">
        <f t="shared" si="42"/>
        <v>129.01373871115794</v>
      </c>
      <c r="P88" s="123">
        <f t="shared" si="43"/>
        <v>1.000019036035493</v>
      </c>
      <c r="Q88" s="123">
        <f t="shared" si="44"/>
        <v>1.9373423761051549</v>
      </c>
      <c r="R88" s="123">
        <f t="shared" si="45"/>
        <v>5.4317983968023453</v>
      </c>
      <c r="S88" s="123">
        <f t="shared" si="46"/>
        <v>1</v>
      </c>
      <c r="T88" s="123">
        <f t="shared" si="47"/>
        <v>1</v>
      </c>
      <c r="U88" s="123">
        <f t="shared" si="48"/>
        <v>1851726.0677592508</v>
      </c>
      <c r="V88" s="123">
        <f t="shared" si="49"/>
        <v>5.4317983968023453</v>
      </c>
      <c r="W88" s="19">
        <f t="shared" si="50"/>
        <v>3.2196122324574844E-4</v>
      </c>
      <c r="X88" s="19">
        <f t="shared" si="51"/>
        <v>0.66643468844838605</v>
      </c>
      <c r="Y88" s="19">
        <f t="shared" si="52"/>
        <v>0.99225304849857576</v>
      </c>
      <c r="Z88" s="19">
        <f t="shared" si="53"/>
        <v>1.9035673129309291E-5</v>
      </c>
      <c r="AA88" s="19">
        <f t="shared" si="54"/>
        <v>0.48382897502587735</v>
      </c>
      <c r="AB88" s="19">
        <f t="shared" si="55"/>
        <v>0.81650969497508641</v>
      </c>
      <c r="AC88" s="19">
        <f t="shared" si="56"/>
        <v>3.3310143672105641E-17</v>
      </c>
      <c r="AD88" s="19">
        <f t="shared" si="57"/>
        <v>3.3310143672105641E-17</v>
      </c>
      <c r="AE88" s="19">
        <f t="shared" si="58"/>
        <v>0.99999945996331885</v>
      </c>
      <c r="AF88" s="19">
        <f t="shared" si="59"/>
        <v>0.81650969497508641</v>
      </c>
      <c r="AG88" s="123">
        <f t="shared" si="60"/>
        <v>6.0326652476095852E-2</v>
      </c>
      <c r="AH88" s="123">
        <f t="shared" si="61"/>
        <v>3.1408128420340286E-3</v>
      </c>
      <c r="AI88" s="123" t="str">
        <f t="shared" si="62"/>
        <v/>
      </c>
      <c r="AJ88" s="123" t="str">
        <f t="shared" si="63"/>
        <v/>
      </c>
      <c r="AK88" s="123" t="str">
        <f t="shared" si="64"/>
        <v/>
      </c>
      <c r="AL88" s="123" t="str">
        <f t="shared" si="65"/>
        <v/>
      </c>
      <c r="AM88" s="123" t="str">
        <f t="shared" si="66"/>
        <v/>
      </c>
      <c r="AN88" s="123" t="str">
        <f t="shared" si="74"/>
        <v/>
      </c>
      <c r="AO88" s="123">
        <f t="shared" si="67"/>
        <v>1.2512319571543608E-8</v>
      </c>
      <c r="AP88" s="123" t="str">
        <f t="shared" si="68"/>
        <v/>
      </c>
      <c r="AQ88" s="131">
        <f t="shared" si="69"/>
        <v>8.702440095871887E-2</v>
      </c>
      <c r="AR88" s="123">
        <f t="shared" si="70"/>
        <v>8.702440095871887E-2</v>
      </c>
      <c r="AS88" s="1002"/>
      <c r="AT88" s="446">
        <v>8.702440095871887E-2</v>
      </c>
      <c r="AU88" s="132">
        <f t="shared" si="71"/>
        <v>0.78947635486099044</v>
      </c>
      <c r="AV88" s="17"/>
      <c r="AW88" s="125">
        <f t="shared" si="72"/>
        <v>-2.0903673610234819E-2</v>
      </c>
      <c r="AX88" s="16"/>
      <c r="AY88" s="26"/>
      <c r="AZ88" s="1001"/>
      <c r="BA88" s="1001"/>
    </row>
    <row r="89" spans="1:53">
      <c r="A89" s="6">
        <v>17.780781710462179</v>
      </c>
      <c r="B89" s="512">
        <v>9.4781753820591188</v>
      </c>
      <c r="C89" s="125">
        <v>9.4900741577148437</v>
      </c>
      <c r="D89" s="124">
        <f t="shared" si="75"/>
        <v>4.2120293875781928E-10</v>
      </c>
      <c r="E89" s="124">
        <f t="shared" si="73"/>
        <v>0.2261984371227721</v>
      </c>
      <c r="F89" s="125">
        <f t="shared" si="33"/>
        <v>1.1898775655724947E-2</v>
      </c>
      <c r="G89" s="123">
        <f t="shared" si="34"/>
        <v>1.5005838964796047E-8</v>
      </c>
      <c r="H89" s="123">
        <f t="shared" si="35"/>
        <v>-1.2249832229380142E-4</v>
      </c>
      <c r="I89" s="124">
        <f t="shared" si="36"/>
        <v>5.82672507734791E-2</v>
      </c>
      <c r="J89" s="124">
        <f t="shared" si="37"/>
        <v>5.8389749095772901E-2</v>
      </c>
      <c r="K89" s="125">
        <f t="shared" si="38"/>
        <v>0.47063032858153808</v>
      </c>
      <c r="L89" s="125">
        <f t="shared" si="39"/>
        <v>0.52936967141846192</v>
      </c>
      <c r="M89" s="123">
        <f t="shared" si="40"/>
        <v>1.0002538018847447</v>
      </c>
      <c r="N89" s="123">
        <f t="shared" si="41"/>
        <v>2.5745551771035262</v>
      </c>
      <c r="O89" s="123">
        <f t="shared" si="42"/>
        <v>101.88479810206319</v>
      </c>
      <c r="P89" s="123">
        <f t="shared" si="43"/>
        <v>1.0000150022999132</v>
      </c>
      <c r="Q89" s="123">
        <f t="shared" si="44"/>
        <v>1.7387396216057884</v>
      </c>
      <c r="R89" s="123">
        <f t="shared" si="45"/>
        <v>4.4920514398558371</v>
      </c>
      <c r="S89" s="123">
        <f t="shared" si="46"/>
        <v>1</v>
      </c>
      <c r="T89" s="123">
        <f t="shared" si="47"/>
        <v>1</v>
      </c>
      <c r="U89" s="123">
        <f t="shared" si="48"/>
        <v>1459345.5590861328</v>
      </c>
      <c r="V89" s="123">
        <f t="shared" si="49"/>
        <v>4.4920514398558371</v>
      </c>
      <c r="W89" s="19">
        <f t="shared" si="50"/>
        <v>2.5373988013898389E-4</v>
      </c>
      <c r="X89" s="19">
        <f t="shared" si="51"/>
        <v>0.61158344539679288</v>
      </c>
      <c r="Y89" s="19">
        <f t="shared" si="52"/>
        <v>0.9901882655123917</v>
      </c>
      <c r="Z89" s="19">
        <f t="shared" si="53"/>
        <v>1.500207484760121E-5</v>
      </c>
      <c r="AA89" s="19">
        <f t="shared" si="54"/>
        <v>0.42487075835054361</v>
      </c>
      <c r="AB89" s="19">
        <f t="shared" si="55"/>
        <v>0.77784327089713778</v>
      </c>
      <c r="AC89" s="19">
        <f t="shared" si="56"/>
        <v>2.6251724824937038E-17</v>
      </c>
      <c r="AD89" s="19">
        <f t="shared" si="57"/>
        <v>2.6251724824937038E-17</v>
      </c>
      <c r="AE89" s="19">
        <f t="shared" si="58"/>
        <v>0.99999931476133685</v>
      </c>
      <c r="AF89" s="19">
        <f t="shared" si="59"/>
        <v>0.77784327089713778</v>
      </c>
      <c r="AG89" s="123">
        <f t="shared" si="60"/>
        <v>5.9514690065133297E-2</v>
      </c>
      <c r="AH89" s="123">
        <f t="shared" si="61"/>
        <v>3.6079234698813863E-3</v>
      </c>
      <c r="AI89" s="123" t="str">
        <f t="shared" si="62"/>
        <v/>
      </c>
      <c r="AJ89" s="123" t="str">
        <f t="shared" si="63"/>
        <v/>
      </c>
      <c r="AK89" s="123" t="str">
        <f t="shared" si="64"/>
        <v/>
      </c>
      <c r="AL89" s="123" t="str">
        <f t="shared" si="65"/>
        <v/>
      </c>
      <c r="AM89" s="123" t="str">
        <f t="shared" si="66"/>
        <v/>
      </c>
      <c r="AN89" s="123" t="str">
        <f t="shared" si="74"/>
        <v/>
      </c>
      <c r="AO89" s="123">
        <f t="shared" si="67"/>
        <v>1.6124704860042019E-8</v>
      </c>
      <c r="AP89" s="123" t="str">
        <f t="shared" si="68"/>
        <v/>
      </c>
      <c r="AQ89" s="131">
        <f t="shared" si="69"/>
        <v>8.7040718254031188E-2</v>
      </c>
      <c r="AR89" s="123">
        <f t="shared" si="70"/>
        <v>8.7040718254031188E-2</v>
      </c>
      <c r="AS89" s="1002"/>
      <c r="AT89" s="446">
        <v>8.7040718254031188E-2</v>
      </c>
      <c r="AU89" s="132">
        <f t="shared" si="71"/>
        <v>0.78946562620190575</v>
      </c>
      <c r="AV89" s="17"/>
      <c r="AW89" s="125">
        <f t="shared" si="72"/>
        <v>1.1898775655724947E-2</v>
      </c>
      <c r="AX89" s="16"/>
      <c r="AY89" s="26"/>
      <c r="AZ89" s="1001"/>
      <c r="BA89" s="1001"/>
    </row>
    <row r="90" spans="1:53">
      <c r="A90" s="6">
        <v>18.326342337240931</v>
      </c>
      <c r="B90" s="512">
        <v>9.6143446978506706</v>
      </c>
      <c r="C90" s="125">
        <v>9.6262283325195312</v>
      </c>
      <c r="D90" s="124">
        <f t="shared" si="75"/>
        <v>3.0788487160511472E-10</v>
      </c>
      <c r="E90" s="124">
        <f t="shared" si="73"/>
        <v>0.23726722187081739</v>
      </c>
      <c r="F90" s="125">
        <f t="shared" si="33"/>
        <v>1.1883634668860665E-2</v>
      </c>
      <c r="G90" s="123">
        <f t="shared" si="34"/>
        <v>1.5970110748621386E-8</v>
      </c>
      <c r="H90" s="123">
        <f t="shared" si="35"/>
        <v>-1.2637290353798708E-4</v>
      </c>
      <c r="I90" s="124">
        <f t="shared" si="36"/>
        <v>5.7437839044779754E-2</v>
      </c>
      <c r="J90" s="124">
        <f t="shared" si="37"/>
        <v>5.7564211948317741E-2</v>
      </c>
      <c r="K90" s="125">
        <f t="shared" si="38"/>
        <v>0.47816570065527997</v>
      </c>
      <c r="L90" s="125">
        <f t="shared" si="39"/>
        <v>0.52183429934472003</v>
      </c>
      <c r="M90" s="123">
        <f t="shared" si="40"/>
        <v>1.0001853501997049</v>
      </c>
      <c r="N90" s="123">
        <f t="shared" si="41"/>
        <v>2.150594475688139</v>
      </c>
      <c r="O90" s="123">
        <f t="shared" si="42"/>
        <v>74.698255577761714</v>
      </c>
      <c r="P90" s="123">
        <f t="shared" si="43"/>
        <v>1.0000109628192722</v>
      </c>
      <c r="Q90" s="123">
        <f t="shared" si="44"/>
        <v>1.5399932731202646</v>
      </c>
      <c r="R90" s="123">
        <f t="shared" si="45"/>
        <v>3.5506066748670575</v>
      </c>
      <c r="S90" s="123">
        <f t="shared" si="46"/>
        <v>1</v>
      </c>
      <c r="T90" s="123">
        <f t="shared" si="47"/>
        <v>1</v>
      </c>
      <c r="U90" s="123">
        <f t="shared" si="48"/>
        <v>1066406.2011793489</v>
      </c>
      <c r="V90" s="123">
        <f t="shared" si="49"/>
        <v>3.5506066748670575</v>
      </c>
      <c r="W90" s="19">
        <f t="shared" si="50"/>
        <v>1.8531712888969799E-4</v>
      </c>
      <c r="X90" s="19">
        <f t="shared" si="51"/>
        <v>0.5350123270575261</v>
      </c>
      <c r="Y90" s="19">
        <f t="shared" si="52"/>
        <v>0.98661518921276936</v>
      </c>
      <c r="Z90" s="19">
        <f t="shared" si="53"/>
        <v>1.0962699090103274E-5</v>
      </c>
      <c r="AA90" s="19">
        <f t="shared" si="54"/>
        <v>0.35064651420597104</v>
      </c>
      <c r="AB90" s="19">
        <f t="shared" si="55"/>
        <v>0.71866778620777438</v>
      </c>
      <c r="AC90" s="19">
        <f t="shared" si="56"/>
        <v>1.9183253001447783E-17</v>
      </c>
      <c r="AD90" s="19">
        <f t="shared" si="57"/>
        <v>1.9183253001447783E-17</v>
      </c>
      <c r="AE90" s="19">
        <f t="shared" si="58"/>
        <v>0.99999906227101931</v>
      </c>
      <c r="AF90" s="19">
        <f t="shared" si="59"/>
        <v>0.71866778620777438</v>
      </c>
      <c r="AG90" s="123">
        <f t="shared" si="60"/>
        <v>5.8669751928861452E-2</v>
      </c>
      <c r="AH90" s="123">
        <f t="shared" si="61"/>
        <v>4.2576948274304863E-3</v>
      </c>
      <c r="AI90" s="123" t="str">
        <f t="shared" si="62"/>
        <v/>
      </c>
      <c r="AJ90" s="123" t="str">
        <f t="shared" si="63"/>
        <v/>
      </c>
      <c r="AK90" s="123" t="str">
        <f t="shared" si="64"/>
        <v/>
      </c>
      <c r="AL90" s="123" t="str">
        <f t="shared" si="65"/>
        <v/>
      </c>
      <c r="AM90" s="123" t="str">
        <f t="shared" si="66"/>
        <v/>
      </c>
      <c r="AN90" s="123" t="str">
        <f t="shared" si="74"/>
        <v/>
      </c>
      <c r="AO90" s="123">
        <f t="shared" si="67"/>
        <v>2.2419491753070826E-8</v>
      </c>
      <c r="AP90" s="123" t="str">
        <f t="shared" si="68"/>
        <v/>
      </c>
      <c r="AQ90" s="131">
        <f t="shared" si="69"/>
        <v>8.7224163292907109E-2</v>
      </c>
      <c r="AR90" s="123">
        <f t="shared" si="70"/>
        <v>8.7224163292907109E-2</v>
      </c>
      <c r="AS90" s="1002"/>
      <c r="AT90" s="446">
        <v>8.7224163292907109E-2</v>
      </c>
      <c r="AU90" s="132">
        <f t="shared" si="71"/>
        <v>0.78934516378589759</v>
      </c>
      <c r="AV90" s="17"/>
      <c r="AW90" s="125">
        <f t="shared" si="72"/>
        <v>1.1883634668860665E-2</v>
      </c>
      <c r="AX90" s="16"/>
      <c r="AY90" s="26"/>
      <c r="AZ90" s="1001"/>
      <c r="BA90" s="1001"/>
    </row>
    <row r="91" spans="1:53">
      <c r="A91" s="6">
        <v>18.883451000147033</v>
      </c>
      <c r="B91" s="512">
        <v>9.7396602970849475</v>
      </c>
      <c r="C91" s="125">
        <v>9.7623672485351562</v>
      </c>
      <c r="D91" s="124">
        <f t="shared" si="75"/>
        <v>2.3073778967533078E-10</v>
      </c>
      <c r="E91" s="124">
        <f t="shared" si="73"/>
        <v>0.28386297888986095</v>
      </c>
      <c r="F91" s="125">
        <f>IF(A91="","",IF(C91="","0,00001",(IF(ABS(C91-B91)&lt;0.00001,0.00001,C91-B91))))</f>
        <v>2.2706951450208734E-2</v>
      </c>
      <c r="G91" s="123">
        <f t="shared" si="34"/>
        <v>5.6664848155025005E-8</v>
      </c>
      <c r="H91" s="123">
        <f t="shared" si="35"/>
        <v>-2.3804379461566522E-4</v>
      </c>
      <c r="I91" s="124">
        <f t="shared" si="36"/>
        <v>5.6614889515162838E-2</v>
      </c>
      <c r="J91" s="124">
        <f t="shared" si="37"/>
        <v>5.6852933309778503E-2</v>
      </c>
      <c r="K91" s="125">
        <f t="shared" si="38"/>
        <v>0.4856423623529616</v>
      </c>
      <c r="L91" s="125">
        <f t="shared" si="39"/>
        <v>0.51435763764703835</v>
      </c>
      <c r="M91" s="123">
        <f t="shared" si="40"/>
        <v>1.0001388183314595</v>
      </c>
      <c r="N91" s="123">
        <f t="shared" si="41"/>
        <v>1.8621060646297392</v>
      </c>
      <c r="O91" s="123">
        <f t="shared" si="42"/>
        <v>56.208177841828757</v>
      </c>
      <c r="P91" s="123">
        <f t="shared" si="43"/>
        <v>1.0000082141130893</v>
      </c>
      <c r="Q91" s="123">
        <f t="shared" si="44"/>
        <v>1.4046865103496278</v>
      </c>
      <c r="R91" s="123">
        <f t="shared" si="45"/>
        <v>2.9104822087151039</v>
      </c>
      <c r="S91" s="123">
        <f t="shared" si="46"/>
        <v>1</v>
      </c>
      <c r="T91" s="123">
        <f t="shared" si="47"/>
        <v>1</v>
      </c>
      <c r="U91" s="123">
        <f t="shared" si="48"/>
        <v>799026.57034077181</v>
      </c>
      <c r="V91" s="123">
        <f t="shared" si="49"/>
        <v>2.9104822087151039</v>
      </c>
      <c r="W91" s="19">
        <f t="shared" si="50"/>
        <v>1.3879978038699797E-4</v>
      </c>
      <c r="X91" s="19">
        <f t="shared" si="51"/>
        <v>0.4629736863747872</v>
      </c>
      <c r="Y91" s="19">
        <f t="shared" si="52"/>
        <v>0.98221077183259942</v>
      </c>
      <c r="Z91" s="19">
        <f t="shared" si="53"/>
        <v>8.2140456182015292E-6</v>
      </c>
      <c r="AA91" s="19">
        <f t="shared" si="54"/>
        <v>0.28809738498086734</v>
      </c>
      <c r="AB91" s="19">
        <f t="shared" si="55"/>
        <v>0.65662645120215291</v>
      </c>
      <c r="AC91" s="19">
        <f t="shared" si="56"/>
        <v>1.4373438589308713E-17</v>
      </c>
      <c r="AD91" s="19">
        <f t="shared" si="57"/>
        <v>1.4373438589308713E-17</v>
      </c>
      <c r="AE91" s="19">
        <f t="shared" si="58"/>
        <v>0.99999874847716319</v>
      </c>
      <c r="AF91" s="19">
        <f t="shared" si="59"/>
        <v>0.65662645120215291</v>
      </c>
      <c r="AG91" s="123">
        <f t="shared" si="60"/>
        <v>5.7830646600503334E-2</v>
      </c>
      <c r="AH91" s="123">
        <f t="shared" si="61"/>
        <v>4.8468680637147174E-3</v>
      </c>
      <c r="AI91" s="123" t="str">
        <f t="shared" si="62"/>
        <v/>
      </c>
      <c r="AJ91" s="123" t="str">
        <f t="shared" si="63"/>
        <v/>
      </c>
      <c r="AK91" s="123" t="str">
        <f t="shared" si="64"/>
        <v/>
      </c>
      <c r="AL91" s="123" t="str">
        <f t="shared" si="65"/>
        <v/>
      </c>
      <c r="AM91" s="123" t="str">
        <f t="shared" si="66"/>
        <v/>
      </c>
      <c r="AN91" s="123" t="str">
        <f t="shared" si="74"/>
        <v/>
      </c>
      <c r="AO91" s="123">
        <f t="shared" si="67"/>
        <v>3.0389625350371207E-8</v>
      </c>
      <c r="AP91" s="123" t="str">
        <f t="shared" si="68"/>
        <v/>
      </c>
      <c r="AQ91" s="131">
        <f t="shared" si="69"/>
        <v>8.7351665703125025E-2</v>
      </c>
      <c r="AR91" s="123">
        <f t="shared" si="70"/>
        <v>8.7351665703125025E-2</v>
      </c>
      <c r="AS91" s="1002"/>
      <c r="AT91" s="446">
        <v>8.7351665703125025E-2</v>
      </c>
      <c r="AU91" s="132">
        <f t="shared" si="71"/>
        <v>0.78926160238584886</v>
      </c>
      <c r="AV91" s="17"/>
      <c r="AW91" s="125">
        <f t="shared" si="72"/>
        <v>2.2706951450208734E-2</v>
      </c>
      <c r="AX91" s="16"/>
      <c r="AY91" s="26"/>
      <c r="AZ91" s="1001"/>
      <c r="BA91" s="1001"/>
    </row>
    <row r="92" spans="1:53">
      <c r="A92" s="6">
        <v>19.426484357973095</v>
      </c>
      <c r="B92" s="512">
        <v>9.9258049194563522</v>
      </c>
      <c r="C92" s="125">
        <v>9.8983230590820312</v>
      </c>
      <c r="D92" s="124">
        <f t="shared" ref="D92:D111" si="76">IF(A92="","",10^-((((B92-P$12)/P$13)+7))/$AU92)</f>
        <v>1.5035835656813602E-10</v>
      </c>
      <c r="E92" s="124">
        <f t="shared" si="73"/>
        <v>0.27614741342926019</v>
      </c>
      <c r="F92" s="125">
        <f t="shared" si="33"/>
        <v>-2.7481860374320988E-2</v>
      </c>
      <c r="G92" s="123">
        <f t="shared" si="34"/>
        <v>7.1993608195109669E-8</v>
      </c>
      <c r="H92" s="123">
        <f t="shared" ref="H92:H111" si="77">IF(A92="","",I92-J92)</f>
        <v>2.6831624661043108E-4</v>
      </c>
      <c r="I92" s="124">
        <f t="shared" ref="I92:I111" si="78">IF(A92="","",L92*I$18+K92*E$19)</f>
        <v>5.5835114852090376E-2</v>
      </c>
      <c r="J92" s="124">
        <f t="shared" ref="J92:J111" si="79">IF(A92="","",D92 -$AC$9/AU92^2/D92+L92*(W92*$B$11+X92*$C$11+Y92*$D$11+Z92*$E$11+AA92*$F$11+AB92*$G$11+AC92*$H$11)+K92*(AD92*$B$18+AE92*$C$18+AF92*$D$18))</f>
        <v>5.5566798605479945E-2</v>
      </c>
      <c r="K92" s="125">
        <f t="shared" ref="K92:K111" si="80">IF(A92="","",A92/(A92+$G$16))</f>
        <v>0.49272677171999835</v>
      </c>
      <c r="L92" s="125">
        <f t="shared" ref="L92:L111" si="81">IF(A92="","",$E$16/(A92+$G$16))</f>
        <v>0.50727322828000165</v>
      </c>
      <c r="M92" s="123">
        <f t="shared" ref="M92:M111" si="82">IF($A92="","",(1+(V$5*$AU92^(-2*V$4))*$D92+(V$6*$AU92^(-4*V$4-2))*$D92^2+(V$7*$AU92^(-6*V$4-6))*$D92^3+(V$8*$AU92^(-8*V$4-12))*$D92^4+(V$9*$AU92^(-10*V$4-20))*$D92^5+(V$10*$AU92^(-12*V$4-30))*$D92^6))</f>
        <v>1.0000902680564367</v>
      </c>
      <c r="N92" s="123">
        <f t="shared" ref="N92:N111" si="83">IF($A92="","",(1+(W$5*$AU92^(-2*W$4))*$D92+(W$6*$AU92^(-4*W$4-2))*$D92^2+(W$7*$AU92^(-6*W$4-6))*$D92^3+(W$8*$AU92^(-8*W$4-12))*$D92^4+(W$9*$AU92^(-10*W$4-20))*$D92^5+(W$10*$AU92^(-12*W$4-30))*$D92^6))</f>
        <v>1.561387328373584</v>
      </c>
      <c r="O92" s="123">
        <f t="shared" ref="O92:O111" si="84">IF($A92="","",(1+(X$5*$AU92^(-2*X$4))*$D92+(X$6*$AU92^(-4*X$4-2))*$D92^2+(X$7*$AU92^(-6*X$4-6))*$D92^3+(X$8*$AU92^(-8*X$4-12))*$D92^4+(X$9*$AU92^(-10*X$4-20))*$D92^5+(X$10*$AU92^(-12*X$4-30))*$D92^6))</f>
        <v>36.925111387140994</v>
      </c>
      <c r="P92" s="123">
        <f t="shared" ref="P92:P111" si="85">IF($A92="","",(1+(Y$5*$AU92^(-2*Y$4))*$D92+(Y$6*$AU92^(-4*Y$4-2))*$D92^2+(Y$7*$AU92^(-6*Y$4-6))*$D92^3+(Y$8*$AU92^(-8*Y$4-12))*$D92^4+(Y$9*$AU92^(-10*Y$4-20))*$D92^5+(Y$10*$AU92^(-12*Y$4-30))*$D92^6))</f>
        <v>1.00000534887675</v>
      </c>
      <c r="Q92" s="123">
        <f t="shared" ref="Q92:Q111" si="86">IF($A92="","",(1+(Z$5*$AU92^(-2*Z$4))*$D92+(Z$6*$AU92^(-4*Z$4-2))*$D92^2+(Z$7*$AU92^(-6*Z$4-6))*$D92^3+(Z$8*$AU92^(-8*Z$4-12))*$D92^4+(Z$9*$AU92^(-10*Z$4-20))*$D92^5+(Z$10*$AU92^(-12*Z$4-30))*$D92^6))</f>
        <v>1.2637105898738248</v>
      </c>
      <c r="R92" s="123">
        <f t="shared" ref="R92:R111" si="87">IF($A92="","",(1+(AA$5*$AU92^(-2*AA$4))*$D92+(AA$6*$AU92^(-4*AA$4-2))*$D92^2+(AA$7*$AU92^(-6*AA$4-6))*$D92^3+(AA$8*$AU92^(-8*AA$4-12))*$D92^4+(AA$9*$AU92^(-10*AA$4-20))*$D92^5+(AA$10*$AU92^(-12*AA$4-30))*$D92^6))</f>
        <v>2.243051217289544</v>
      </c>
      <c r="S92" s="123">
        <f t="shared" ref="S92:S111" si="88">IF($A92="","",(1+(AB$5*$AU92^(-2*AB$4))*$D92+(AB$6*$AU92^(-4*AB$4-2))*$D92^2+(AB$7*$AU92^(-6*AB$4-6))*$D92^3+(AB$8*$AU92^(-8*AB$4-12))*$D92^4+(AB$9*$AU92^(-10*AB$4-20))*$D92^5+(AB$10*$AU92^(-12*AB$4-30))*$D92^6))</f>
        <v>1</v>
      </c>
      <c r="T92" s="123">
        <f t="shared" ref="T92:T111" si="89">IF($A92="","",(1+(AC$5*$AU92^(-2*AC$4))*$D92+(AC$6*$AU92^(-4*AC$4-2))*$D92^2))</f>
        <v>1</v>
      </c>
      <c r="U92" s="123">
        <f t="shared" ref="U92:U111" si="90">IF($A92="","",(1+(AD$5*$AU92^(-2*AD$4))*$D92+(AD$6*$AU92^(-4*AD$4-2))*$D92^2))</f>
        <v>520311.50088969606</v>
      </c>
      <c r="V92" s="123">
        <f t="shared" ref="V92:V111" si="91">IF($A92="","",(1+(AE$5*$AU92^(-2*AE$4))*$D92+(AE$6*$AU92^(-4*AE$4-2))*$D92^2))</f>
        <v>2.243051217289544</v>
      </c>
      <c r="W92" s="19">
        <f t="shared" ref="W92:W111" si="92">IF($A92="","",((V$5*$AU92^(-2*V$4))*$D92+2*(V$6*$AU92^(-4*V$4-2))*$D92^2+3*(V$7*$AU92^(-6*V$4-6))*$D92^3+4*(V$8*$AU92^(-8*V$4-12))*$D92^4+5*(V$9*$AU92^(-10*V$4-20))*$D92^5+6*(V$10*$AU92^(-12*V$4-30))*$D92^6)/M92)</f>
        <v>9.0260212163157993E-5</v>
      </c>
      <c r="X92" s="19">
        <f t="shared" ref="X92:X111" si="93">IF($A92="","",((W$5*$AU92^(-2*W$4))*$D92+2*(W$6*$AU92^(-4*W$4-2))*$D92^2+3*(W$7*$AU92^(-6*W$4-6))*$D92^3+4*(W$8*$AU92^(-8*W$4-12))*$D92^4+5*(W$9*$AU92^(-10*W$4-20))*$D92^5+6*(W$10*$AU92^(-12*W$4-30))*$D92^6)/N92)</f>
        <v>0.35954393702889487</v>
      </c>
      <c r="Y92" s="19">
        <f t="shared" ref="Y92:Y111" si="94">IF($A92="","",((X$5*$AU92^(-2*X$4))*$D92+2*(X$6*$AU92^(-4*X$4-2))*$D92^2+3*(X$7*$AU92^(-6*X$4-6))*$D92^3+4*(X$8*$AU92^(-8*X$4-12))*$D92^4+5*(X$9*$AU92^(-10*X$4-20))*$D92^5+6*(X$10*$AU92^(-12*X$4-30))*$D92^6)/O92)</f>
        <v>0.97291930528380144</v>
      </c>
      <c r="Z92" s="19">
        <f t="shared" ref="Z92:Z111" si="95">IF($A92="","",((Y$5*$AU92^(-2*Y$4))*$D92+2*(Y$6*$AU92^(-4*Y$4-2))*$D92^2+3*(Y$7*$AU92^(-6*Y$4-6))*$D92^3+4*(Y$8*$AU92^(-8*Y$4-12))*$D92^4+5*(Y$9*$AU92^(-10*Y$4-20))*$D92^5+6*(Y$10*$AU92^(-12*Y$4-30))*$D92^6)/P92)</f>
        <v>5.3488481396801215E-6</v>
      </c>
      <c r="AA92" s="19">
        <f t="shared" ref="AA92:AA111" si="96">IF($A92="","",((Z$5*$AU92^(-2*Z$4))*$D92+2*(Z$6*$AU92^(-4*Z$4-2))*$D92^2+3*(Z$7*$AU92^(-6*Z$4-6))*$D92^3+4*(Z$8*$AU92^(-8*Z$4-12))*$D92^4+5*(Z$9*$AU92^(-10*Z$4-20))*$D92^5+6*(Z$10*$AU92^(-12*Z$4-30))*$D92^6)/Q92)</f>
        <v>0.20867957583559937</v>
      </c>
      <c r="AB92" s="19">
        <f t="shared" ref="AB92:AB111" si="97">IF($A92="","",((AA$5*$AU92^(-2*AA$4))*$D92+2*(AA$6*$AU92^(-4*AA$4-2))*$D92^2+3*(AA$7*$AU92^(-6*AA$4-6))*$D92^3+4*(AA$8*$AU92^(-8*AA$4-12))*$D92^4+5*(AA$9*$AU92^(-10*AA$4-20))*$D92^5+6*(AA$10*$AU92^(-12*AA$4-30))*$D92^6)/R92)</f>
        <v>0.55429533718937363</v>
      </c>
      <c r="AC92" s="19">
        <f t="shared" ref="AC92:AC111" si="98">IF($A92="","",((AB$5*$AU92^(-2*AB$4))*$D92+2*(AB$6*$AU92^(-4*AB$4-2))*$D92^2+3*(AB$7*$AU92^(-6*AB$4-6))*$D92^3+4*(AB$8*$AU92^(-8*AB$4-12))*$D92^4+5*(AB$9*$AU92^(-10*AB$4-20))*$D92^5+6*(AB$10*$AU92^(-12*AB$4-30))*$D92^6)/S92)</f>
        <v>9.3597142688684812E-18</v>
      </c>
      <c r="AD92" s="19">
        <f t="shared" ref="AD92:AD111" si="99">IF($A92="","",((AC$5*$AU92^(-2*AC$4))*$D92+2*(AC$6*$AU92^(-4*AC$4-2))*$D92^2)/T92)</f>
        <v>9.3597142688684812E-18</v>
      </c>
      <c r="AE92" s="19">
        <f t="shared" ref="AE92:AE111" si="100">IF($A92="","",((AD$5*$AU92^(-2*AD$4))*$D92+2*(AD$6*$AU92^(-4*AD$4-2))*$D92^2)/U92)</f>
        <v>0.99999807807438756</v>
      </c>
      <c r="AF92" s="19">
        <f t="shared" ref="AF92:AF111" si="101">IF($A92="","",((AE$5*$AU92^(-2*AE$4))*$D92+2*(AE$6*$AU92^(-4*AE$4-2))*$D92^2)/V92)</f>
        <v>0.55429533718937363</v>
      </c>
      <c r="AG92" s="123">
        <f t="shared" ref="AG92:AG111" si="102">IF(B$11=0,"",IF($A92="","",0.5*B$11*$L92*(1*V$4^2+(V$5*$AU92^(-2*V$4))*$D92*(V$4+1)^2+(V$6*$AU92^(-4*V$4-2))*$D92^2*(V$4+2)^2+(V$7*$AU92^(-6*V$4-6))*$D92^3*(V$4+3)^2+(V$8*$AU92^(-8*V$4-12))*$D92^4*(V$4+4)^2+(V$9*$AU92^(-10*V$4-20))*$D92^5*(V$4+5)^2+(V$10*$AU92^(-12*V$4-30))*$D92^6*(V$4+6)^2)/M92))</f>
        <v>5.703566505304776E-2</v>
      </c>
      <c r="AH92" s="123">
        <f t="shared" ref="AH92:AH111" si="103">IF(C$11=0,"",IF($A92="","",0.5*C$11*$L92*(1*W$4^2+(W$5*$AU92^(-2*W$4))*$D92*(W$4+1)^2+(W$6*$AU92^(-4*W$4-2))*$D92^2*(W$4+2)^2+(W$7*$AU92^(-6*W$4-6))*$D92^3*(W$4+3)^2+(W$8*$AU92^(-8*W$4-12))*$D92^4*(W$4+4)^2+(W$9*$AU92^(-10*W$4-20))*$D92^5*(W$4+5)^2+(W$10*$AU92^(-12*W$4-30))*$D92^6*(W$4+6)^2)/N92))</f>
        <v>5.7007461236276737E-3</v>
      </c>
      <c r="AI92" s="123" t="str">
        <f t="shared" ref="AI92:AI111" si="104">IF(D$11=0,"",IF($A92="","",0.5*D$11*$L92*(1*X$4^2+(X$5*$AU92^(-2*X$4))*$D92*(X$4+1)^2+(X$6*$AU92^(-4*X$4-2))*$D92^2*(X$4+2)^2+(X$7*$AU92^(-6*X$4-6))*$D92^3*(X$4+3)^2+(X$8*$AU92^(-8*X$4-12))*$D92^4*(X$4+4)^2+(X$9*$AU92^(-10*X$4-20))*$D92^5*(X$4+5)^2+(X$10*$AU92^(-12*X$4-30))*$D92^6*(X$4+6)^2)/O92))</f>
        <v/>
      </c>
      <c r="AJ92" s="123" t="str">
        <f t="shared" ref="AJ92:AJ111" si="105">IF(E$11=0,"",IF($A92="","",0.5*E$11*$L92*(1*Y$4^2+(Y$5*$AU92^(-2*Y$4))*$D92*(Y$4+1)^2+(Y$6*$AU92^(-4*Y$4-2))*$D92^2*(Y$4+2)^2+(Y$7*$AU92^(-6*Y$4-6))*$D92^3*(Y$4+3)^2+(Y$8*$AU92^(-8*Y$4-12))*$D92^4*(Y$4+4)^2+(Y$9*$AU92^(-10*Y$4-20))*$D92^5*(Y$4+5)^2+(Y$10*$AU92^(-12*Y$4-30))*$D92^6*(Y$4+6)^2)/P92))</f>
        <v/>
      </c>
      <c r="AK92" s="123" t="str">
        <f t="shared" ref="AK92:AK111" si="106">IF(F$11=0,"",IF($A92="","",0.5*F$11*$L92*(1*Z$4^2+(Z$5*$AU92^(-2*Z$4))*$D92*(Z$4+1)^2+(Z$6*$AU92^(-4*Z$4-2))*$D92^2*(Z$4+2)^2+(Z$7*$AU92^(-6*Z$4-6))*$D92^3*(Z$4+3)^2+(Z$8*$AU92^(-8*Z$4-12))*$D92^4*(Z$4+4)^2+(Z$9*$AU92^(-10*Z$4-20))*$D92^5*(Z$4+5)^2+(Z$10*$AU92^(-12*Z$4-30))*$D92^6*(Z$4+6)^2)/Q92))</f>
        <v/>
      </c>
      <c r="AL92" s="123" t="str">
        <f t="shared" ref="AL92:AL111" si="107">IF(G$11=0,"",IF($A92="","",0.5*G$11*$L92*(1*AA$4^2+(AA$5*$AU92^(-2*AA$4))*$D92*(AA$4+1)^2+(AA$6*$AU92^(-4*AA$4-2))*$D92^2*(AA$4+2)^2+(AA$7*$AU92^(-6*AA$4-6))*$D92^3*(AA$4+3)^2+(AA$8*$AU92^(-8*AA$4-12))*$D92^4*(AA$4+4)^2+(AA$9*$AU92^(-10*AA$4-20))*$D92^5*(AA$4+5)^2+(AA$10*$AU92^(-12*AA$4-30))*$D92^6*(AA$4+6)^2)/R92))</f>
        <v/>
      </c>
      <c r="AM92" s="123" t="str">
        <f t="shared" ref="AM92:AM111" si="108">IF(H$11=0,"",IF($A92="","",0.5*H$11*$L92*(1*AB$4^2+(AB$5*$AU92^(-2*AB$4))*$D92*(AB$4+1)^2+(AB$6*$AU92^(-4*AB$4-2))*$D92^2*(AB$4+2)^2+(AB$7*$AU92^(-6*AB$4-6))*$D92^3*(AB$4+3)^2+(AB$8*$AU92^(-8*AB$4-12))*$D92^4*(AB$4+4)^2+(AB$9*$AU92^(-10*AB$4-20))*$D92^5*(AB$4+5)^2+(AB$10*$AU92^(-12*AB$4-30))*$D92^6*(AB$4+6)^2)/S92))</f>
        <v/>
      </c>
      <c r="AN92" s="123" t="str">
        <f t="shared" ref="AN92:AN111" si="109">IF(B$18=0,"",IF($A92="","",0.5*B$18*$K92*(1*AC$4^2+(AC$5*$AU92^(-2*AC$4))*$D92*(AC$4+1)^2+(AC$6*$AU92^(-4*AC$4-2))*$D92^2*(AC$4+2)^2)/T92))</f>
        <v/>
      </c>
      <c r="AO92" s="123">
        <f t="shared" ref="AO92:AO111" si="110">IF(C$18=0,"",IF($A92="","",0.5*C$18*$K92*(1*AD$4^2+(AD$5*$AU92^(-2*AD$4))*$D92*(AD$4+1)^2+(AD$6*$AU92^(-4*AD$4-2))*$D92^2*(AD$4+2)^2)/U92))</f>
        <v>4.7349210124845434E-8</v>
      </c>
      <c r="AP92" s="123" t="str">
        <f t="shared" ref="AP92:AP111" si="111">IF(D$18=0,"",IF($A92="","",0.5*D$18*$K92*(1*AE$4^2+(AE$5*$AU92^(-2*AE$4))*$D92*(AE$4+1)^2+(AE$6*$AU92^(-4*AE$4-2))*$D92^2*(AE$4+2)^2)/V92))</f>
        <v/>
      </c>
      <c r="AQ92" s="131">
        <f t="shared" si="69"/>
        <v>8.7778646088413625E-2</v>
      </c>
      <c r="AR92" s="123">
        <f t="shared" si="70"/>
        <v>8.7778646088413625E-2</v>
      </c>
      <c r="AS92" s="1002"/>
      <c r="AT92" s="446">
        <v>8.7778646088413625E-2</v>
      </c>
      <c r="AU92" s="132">
        <f t="shared" si="71"/>
        <v>0.78898275414906338</v>
      </c>
      <c r="AV92" s="17"/>
      <c r="AW92" s="125">
        <f t="shared" si="72"/>
        <v>-2.7481860374320988E-2</v>
      </c>
      <c r="AX92" s="16"/>
      <c r="AY92" s="26"/>
    </row>
    <row r="93" spans="1:53">
      <c r="A93" s="6">
        <v>19.933300970296841</v>
      </c>
      <c r="B93" s="512">
        <v>10.031987109556535</v>
      </c>
      <c r="C93" s="125">
        <v>10.034309387207031</v>
      </c>
      <c r="D93" s="124">
        <f t="shared" si="76"/>
        <v>1.1774703308611857E-10</v>
      </c>
      <c r="E93" s="124">
        <f t="shared" si="73"/>
        <v>0.29222654407881288</v>
      </c>
      <c r="F93" s="125">
        <f t="shared" si="33"/>
        <v>2.3222776504958631E-3</v>
      </c>
      <c r="G93" s="123">
        <f t="shared" si="34"/>
        <v>4.2692315794177779E-10</v>
      </c>
      <c r="H93" s="123">
        <f t="shared" si="77"/>
        <v>-2.0662118912197214E-5</v>
      </c>
      <c r="I93" s="124">
        <f t="shared" si="78"/>
        <v>5.5126479125254459E-2</v>
      </c>
      <c r="J93" s="124">
        <f t="shared" si="79"/>
        <v>5.5147141244166656E-2</v>
      </c>
      <c r="K93" s="125">
        <f t="shared" si="80"/>
        <v>0.49916486956897488</v>
      </c>
      <c r="L93" s="125">
        <f t="shared" si="81"/>
        <v>0.50083513043102512</v>
      </c>
      <c r="M93" s="123">
        <f t="shared" si="82"/>
        <v>1.000070685221162</v>
      </c>
      <c r="N93" s="123">
        <f t="shared" si="83"/>
        <v>1.4396183576539592</v>
      </c>
      <c r="O93" s="123">
        <f t="shared" si="84"/>
        <v>29.132092965268701</v>
      </c>
      <c r="P93" s="123">
        <f t="shared" si="85"/>
        <v>1.0000041886667377</v>
      </c>
      <c r="Q93" s="123">
        <f t="shared" si="86"/>
        <v>1.2065142254794601</v>
      </c>
      <c r="R93" s="123">
        <f t="shared" si="87"/>
        <v>1.9733594027287902</v>
      </c>
      <c r="S93" s="123">
        <f t="shared" si="88"/>
        <v>1</v>
      </c>
      <c r="T93" s="123">
        <f t="shared" si="89"/>
        <v>1</v>
      </c>
      <c r="U93" s="123">
        <f t="shared" si="90"/>
        <v>407452.39403820434</v>
      </c>
      <c r="V93" s="123">
        <f t="shared" si="91"/>
        <v>1.9733594027287902</v>
      </c>
      <c r="W93" s="19">
        <f t="shared" si="92"/>
        <v>7.0680411108401588E-5</v>
      </c>
      <c r="X93" s="19">
        <f t="shared" si="93"/>
        <v>0.30537146661482872</v>
      </c>
      <c r="Y93" s="19">
        <f t="shared" si="94"/>
        <v>0.96567448679982559</v>
      </c>
      <c r="Z93" s="19">
        <f t="shared" si="95"/>
        <v>4.1886491928007161E-6</v>
      </c>
      <c r="AA93" s="19">
        <f t="shared" si="96"/>
        <v>0.17116600958218522</v>
      </c>
      <c r="AB93" s="19">
        <f t="shared" si="97"/>
        <v>0.49333123422855318</v>
      </c>
      <c r="AC93" s="19">
        <f t="shared" si="98"/>
        <v>7.3295246206417838E-18</v>
      </c>
      <c r="AD93" s="19">
        <f t="shared" si="99"/>
        <v>7.3295246206417838E-18</v>
      </c>
      <c r="AE93" s="19">
        <f t="shared" si="100"/>
        <v>0.99999754572555066</v>
      </c>
      <c r="AF93" s="19">
        <f t="shared" si="101"/>
        <v>0.49333123422855318</v>
      </c>
      <c r="AG93" s="123">
        <f t="shared" si="102"/>
        <v>5.6312405019634679E-2</v>
      </c>
      <c r="AH93" s="123">
        <f t="shared" si="103"/>
        <v>6.1044678874102544E-3</v>
      </c>
      <c r="AI93" s="123" t="str">
        <f t="shared" si="104"/>
        <v/>
      </c>
      <c r="AJ93" s="123" t="str">
        <f t="shared" si="105"/>
        <v/>
      </c>
      <c r="AK93" s="123" t="str">
        <f t="shared" si="106"/>
        <v/>
      </c>
      <c r="AL93" s="123" t="str">
        <f t="shared" si="107"/>
        <v/>
      </c>
      <c r="AM93" s="123" t="str">
        <f t="shared" si="108"/>
        <v/>
      </c>
      <c r="AN93" s="123" t="str">
        <f t="shared" si="109"/>
        <v/>
      </c>
      <c r="AO93" s="123">
        <f t="shared" si="110"/>
        <v>6.1254379268927705E-8</v>
      </c>
      <c r="AP93" s="123" t="str">
        <f t="shared" si="111"/>
        <v/>
      </c>
      <c r="AQ93" s="131">
        <f t="shared" si="69"/>
        <v>8.7791457807347539E-2</v>
      </c>
      <c r="AR93" s="123">
        <f t="shared" si="70"/>
        <v>8.7791457807347539E-2</v>
      </c>
      <c r="AS93" s="1002"/>
      <c r="AT93" s="446">
        <v>8.7791457807347539E-2</v>
      </c>
      <c r="AU93" s="132">
        <f t="shared" si="71"/>
        <v>0.78897441048863903</v>
      </c>
      <c r="AV93" s="17"/>
      <c r="AW93" s="125">
        <f t="shared" si="72"/>
        <v>2.3222776504958631E-3</v>
      </c>
      <c r="AX93" s="16"/>
      <c r="AY93" s="26"/>
    </row>
    <row r="94" spans="1:53">
      <c r="A94" s="6">
        <v>20.389101548062172</v>
      </c>
      <c r="B94" s="512">
        <v>10.202887247648615</v>
      </c>
      <c r="C94" s="125">
        <v>10.170051574707031</v>
      </c>
      <c r="D94" s="124">
        <f t="shared" si="76"/>
        <v>7.9459893971616144E-11</v>
      </c>
      <c r="E94" s="124">
        <f t="shared" si="73"/>
        <v>0.29745563918420004</v>
      </c>
      <c r="F94" s="125">
        <f t="shared" si="33"/>
        <v>-3.2835672941583738E-2</v>
      </c>
      <c r="G94" s="123">
        <f t="shared" si="34"/>
        <v>6.3188813846676076E-8</v>
      </c>
      <c r="H94" s="123">
        <f t="shared" si="77"/>
        <v>2.5137385275059154E-4</v>
      </c>
      <c r="I94" s="124">
        <f t="shared" si="78"/>
        <v>5.4504363750750295E-2</v>
      </c>
      <c r="J94" s="124">
        <f t="shared" si="79"/>
        <v>5.4252989897999704E-2</v>
      </c>
      <c r="K94" s="125">
        <f t="shared" si="80"/>
        <v>0.50481691264658546</v>
      </c>
      <c r="L94" s="125">
        <f t="shared" si="81"/>
        <v>0.49518308735341454</v>
      </c>
      <c r="M94" s="123">
        <f t="shared" si="82"/>
        <v>1.0000476362294621</v>
      </c>
      <c r="N94" s="123">
        <f t="shared" si="83"/>
        <v>1.2965360725055721</v>
      </c>
      <c r="O94" s="123">
        <f t="shared" si="84"/>
        <v>19.967379605239223</v>
      </c>
      <c r="P94" s="123">
        <f t="shared" si="85"/>
        <v>1.0000028253842734</v>
      </c>
      <c r="Q94" s="123">
        <f t="shared" si="86"/>
        <v>1.1393631587152313</v>
      </c>
      <c r="R94" s="123">
        <f t="shared" si="87"/>
        <v>1.6562289015242528</v>
      </c>
      <c r="S94" s="123">
        <f t="shared" si="88"/>
        <v>1</v>
      </c>
      <c r="T94" s="123">
        <f t="shared" si="89"/>
        <v>1</v>
      </c>
      <c r="U94" s="123">
        <f t="shared" si="90"/>
        <v>274839.47081688221</v>
      </c>
      <c r="V94" s="123">
        <f t="shared" si="91"/>
        <v>1.6562289015242528</v>
      </c>
      <c r="W94" s="19">
        <f t="shared" si="92"/>
        <v>4.7634044872875264E-5</v>
      </c>
      <c r="X94" s="19">
        <f t="shared" si="93"/>
        <v>0.22871409756270764</v>
      </c>
      <c r="Y94" s="19">
        <f t="shared" si="94"/>
        <v>0.94991890702413084</v>
      </c>
      <c r="Z94" s="19">
        <f t="shared" si="95"/>
        <v>2.8253762907453876E-6</v>
      </c>
      <c r="AA94" s="19">
        <f t="shared" si="96"/>
        <v>0.12231671495537903</v>
      </c>
      <c r="AB94" s="19">
        <f t="shared" si="97"/>
        <v>0.39626277556235751</v>
      </c>
      <c r="AC94" s="19">
        <f t="shared" si="98"/>
        <v>4.9439893151104077E-18</v>
      </c>
      <c r="AD94" s="19">
        <f t="shared" si="99"/>
        <v>4.9439893151104077E-18</v>
      </c>
      <c r="AE94" s="19">
        <f t="shared" si="100"/>
        <v>0.99999636151242388</v>
      </c>
      <c r="AF94" s="19">
        <f t="shared" si="101"/>
        <v>0.39626277556235751</v>
      </c>
      <c r="AG94" s="123">
        <f t="shared" si="102"/>
        <v>5.5677619078561683E-2</v>
      </c>
      <c r="AH94" s="123">
        <f t="shared" si="103"/>
        <v>6.7016478200618498E-3</v>
      </c>
      <c r="AI94" s="123" t="str">
        <f t="shared" si="104"/>
        <v/>
      </c>
      <c r="AJ94" s="123" t="str">
        <f t="shared" si="105"/>
        <v/>
      </c>
      <c r="AK94" s="123" t="str">
        <f t="shared" si="106"/>
        <v/>
      </c>
      <c r="AL94" s="123" t="str">
        <f t="shared" si="107"/>
        <v/>
      </c>
      <c r="AM94" s="123" t="str">
        <f t="shared" si="108"/>
        <v/>
      </c>
      <c r="AN94" s="123" t="str">
        <f t="shared" si="109"/>
        <v/>
      </c>
      <c r="AO94" s="123">
        <f t="shared" si="110"/>
        <v>9.1838503244486812E-8</v>
      </c>
      <c r="AP94" s="123" t="str">
        <f t="shared" si="111"/>
        <v/>
      </c>
      <c r="AQ94" s="131">
        <f t="shared" si="69"/>
        <v>8.8065705699650026E-2</v>
      </c>
      <c r="AR94" s="123">
        <f t="shared" si="70"/>
        <v>8.8065705699650026E-2</v>
      </c>
      <c r="AS94" s="1002"/>
      <c r="AT94" s="446">
        <v>8.8065705699650026E-2</v>
      </c>
      <c r="AU94" s="132">
        <f t="shared" si="71"/>
        <v>0.78879612989140924</v>
      </c>
      <c r="AV94" s="17"/>
      <c r="AW94" s="125">
        <f t="shared" si="72"/>
        <v>-3.2835672941583738E-2</v>
      </c>
      <c r="AX94" s="16"/>
      <c r="AY94" s="26"/>
    </row>
    <row r="95" spans="1:53">
      <c r="A95" s="6">
        <v>20.788013354467694</v>
      </c>
      <c r="B95" s="512">
        <v>10.290634401448534</v>
      </c>
      <c r="C95" s="125">
        <v>10.305747985839844</v>
      </c>
      <c r="D95" s="124">
        <f t="shared" si="76"/>
        <v>6.4920211276173472E-11</v>
      </c>
      <c r="E95" s="124">
        <f t="shared" si="73"/>
        <v>0.29469540398881311</v>
      </c>
      <c r="F95" s="125">
        <f t="shared" si="33"/>
        <v>1.5113584391309942E-2</v>
      </c>
      <c r="G95" s="123">
        <f t="shared" si="34"/>
        <v>1.0386616646811134E-8</v>
      </c>
      <c r="H95" s="123">
        <f t="shared" si="77"/>
        <v>-1.0191475186061699E-4</v>
      </c>
      <c r="I95" s="124">
        <f t="shared" si="78"/>
        <v>5.3971304344011282E-2</v>
      </c>
      <c r="J95" s="124">
        <f t="shared" si="79"/>
        <v>5.4073219095871899E-2</v>
      </c>
      <c r="K95" s="125">
        <f t="shared" si="80"/>
        <v>0.50965986437754973</v>
      </c>
      <c r="L95" s="125">
        <f t="shared" si="81"/>
        <v>0.49034013562245021</v>
      </c>
      <c r="M95" s="123">
        <f t="shared" si="82"/>
        <v>1.000038930913854</v>
      </c>
      <c r="N95" s="123">
        <f t="shared" si="83"/>
        <v>1.2422988087142428</v>
      </c>
      <c r="O95" s="123">
        <f t="shared" si="84"/>
        <v>16.499683908231965</v>
      </c>
      <c r="P95" s="123">
        <f t="shared" si="85"/>
        <v>1.0000023086137213</v>
      </c>
      <c r="Q95" s="123">
        <f t="shared" si="86"/>
        <v>1.1138622927327282</v>
      </c>
      <c r="R95" s="123">
        <f t="shared" si="87"/>
        <v>1.5362435443333857</v>
      </c>
      <c r="S95" s="123">
        <f t="shared" si="88"/>
        <v>1</v>
      </c>
      <c r="T95" s="123">
        <f t="shared" si="89"/>
        <v>1</v>
      </c>
      <c r="U95" s="123">
        <f t="shared" si="90"/>
        <v>224570.75882178955</v>
      </c>
      <c r="V95" s="123">
        <f t="shared" si="91"/>
        <v>1.5362435443333857</v>
      </c>
      <c r="W95" s="19">
        <f t="shared" si="92"/>
        <v>3.8929454738674836E-5</v>
      </c>
      <c r="X95" s="19">
        <f t="shared" si="93"/>
        <v>0.19504068629555096</v>
      </c>
      <c r="Y95" s="19">
        <f t="shared" si="94"/>
        <v>0.93939325608406665</v>
      </c>
      <c r="Z95" s="19">
        <f t="shared" si="95"/>
        <v>2.3086083916663043E-6</v>
      </c>
      <c r="AA95" s="19">
        <f t="shared" si="96"/>
        <v>0.1022229529409607</v>
      </c>
      <c r="AB95" s="19">
        <f t="shared" si="97"/>
        <v>0.349093255796813</v>
      </c>
      <c r="AC95" s="19">
        <f t="shared" si="98"/>
        <v>4.0397200756205673E-18</v>
      </c>
      <c r="AD95" s="19">
        <f t="shared" si="99"/>
        <v>4.0397200756205673E-18</v>
      </c>
      <c r="AE95" s="19">
        <f t="shared" si="100"/>
        <v>0.99999554706051119</v>
      </c>
      <c r="AF95" s="19">
        <f t="shared" si="101"/>
        <v>0.349093255796813</v>
      </c>
      <c r="AG95" s="123">
        <f t="shared" si="102"/>
        <v>5.5133351713746621E-2</v>
      </c>
      <c r="AH95" s="123">
        <f t="shared" si="103"/>
        <v>6.9258291793340664E-3</v>
      </c>
      <c r="AI95" s="123" t="str">
        <f t="shared" si="104"/>
        <v/>
      </c>
      <c r="AJ95" s="123" t="str">
        <f t="shared" si="105"/>
        <v/>
      </c>
      <c r="AK95" s="123" t="str">
        <f t="shared" si="106"/>
        <v/>
      </c>
      <c r="AL95" s="123" t="str">
        <f t="shared" si="107"/>
        <v/>
      </c>
      <c r="AM95" s="123" t="str">
        <f t="shared" si="108"/>
        <v/>
      </c>
      <c r="AN95" s="123" t="str">
        <f t="shared" si="109"/>
        <v/>
      </c>
      <c r="AO95" s="123">
        <f t="shared" si="110"/>
        <v>1.1347422679860017E-7</v>
      </c>
      <c r="AP95" s="123" t="str">
        <f t="shared" si="111"/>
        <v/>
      </c>
      <c r="AQ95" s="131">
        <f t="shared" si="69"/>
        <v>8.8007222767126941E-2</v>
      </c>
      <c r="AR95" s="123">
        <f t="shared" si="70"/>
        <v>8.8007222767126941E-2</v>
      </c>
      <c r="AS95" s="1002"/>
      <c r="AT95" s="446">
        <v>8.8007222767126941E-2</v>
      </c>
      <c r="AU95" s="132">
        <f t="shared" si="71"/>
        <v>0.78883409610098598</v>
      </c>
      <c r="AV95" s="17"/>
      <c r="AW95" s="125">
        <f t="shared" si="72"/>
        <v>1.5113584391309942E-2</v>
      </c>
      <c r="AX95" s="16"/>
      <c r="AY95" s="26"/>
    </row>
    <row r="96" spans="1:53">
      <c r="A96" s="6">
        <v>21.132498390215915</v>
      </c>
      <c r="B96" s="512">
        <v>10.417895616528499</v>
      </c>
      <c r="C96" s="125">
        <v>10.441261291503906</v>
      </c>
      <c r="D96" s="124">
        <f t="shared" si="76"/>
        <v>4.8433803161479891E-11</v>
      </c>
      <c r="E96" s="124">
        <f t="shared" si="73"/>
        <v>0.41285066378909513</v>
      </c>
      <c r="F96" s="125">
        <f t="shared" si="33"/>
        <v>2.3365674975407202E-2</v>
      </c>
      <c r="G96" s="123">
        <f t="shared" si="34"/>
        <v>1.8304168591373039E-8</v>
      </c>
      <c r="H96" s="123">
        <f t="shared" si="77"/>
        <v>-1.3529289926442201E-4</v>
      </c>
      <c r="I96" s="124">
        <f t="shared" si="78"/>
        <v>5.3519294195492138E-2</v>
      </c>
      <c r="J96" s="124">
        <f t="shared" si="79"/>
        <v>5.365458709475656E-2</v>
      </c>
      <c r="K96" s="125">
        <f t="shared" si="80"/>
        <v>0.51376646732556974</v>
      </c>
      <c r="L96" s="125">
        <f t="shared" si="81"/>
        <v>0.48623353267443026</v>
      </c>
      <c r="M96" s="123">
        <f t="shared" si="82"/>
        <v>1.000029032464808</v>
      </c>
      <c r="N96" s="123">
        <f t="shared" si="83"/>
        <v>1.1807424642673787</v>
      </c>
      <c r="O96" s="123">
        <f t="shared" si="84"/>
        <v>12.560376575935274</v>
      </c>
      <c r="P96" s="123">
        <f t="shared" si="85"/>
        <v>1.0000017221072477</v>
      </c>
      <c r="Q96" s="123">
        <f t="shared" si="86"/>
        <v>1.0849471029949613</v>
      </c>
      <c r="R96" s="123">
        <f t="shared" si="87"/>
        <v>1.3999459002092813</v>
      </c>
      <c r="S96" s="123">
        <f t="shared" si="88"/>
        <v>1</v>
      </c>
      <c r="T96" s="123">
        <f t="shared" si="89"/>
        <v>1</v>
      </c>
      <c r="U96" s="123">
        <f t="shared" si="90"/>
        <v>167518.50441769339</v>
      </c>
      <c r="V96" s="123">
        <f t="shared" si="91"/>
        <v>1.3999459002092813</v>
      </c>
      <c r="W96" s="19">
        <f t="shared" si="92"/>
        <v>2.9031653342045867E-5</v>
      </c>
      <c r="X96" s="19">
        <f t="shared" si="93"/>
        <v>0.15307526551889661</v>
      </c>
      <c r="Y96" s="19">
        <f t="shared" si="94"/>
        <v>0.92038490181212451</v>
      </c>
      <c r="Z96" s="19">
        <f t="shared" si="95"/>
        <v>1.7221042819803608E-6</v>
      </c>
      <c r="AA96" s="19">
        <f t="shared" si="96"/>
        <v>7.8296077993542434E-2</v>
      </c>
      <c r="AB96" s="19">
        <f t="shared" si="97"/>
        <v>0.28570604340033096</v>
      </c>
      <c r="AC96" s="19">
        <f t="shared" si="98"/>
        <v>3.0134236647197643E-18</v>
      </c>
      <c r="AD96" s="19">
        <f t="shared" si="99"/>
        <v>3.0134236647197643E-18</v>
      </c>
      <c r="AE96" s="19">
        <f t="shared" si="100"/>
        <v>0.99999403051022051</v>
      </c>
      <c r="AF96" s="19">
        <f t="shared" si="101"/>
        <v>0.28570604340033096</v>
      </c>
      <c r="AG96" s="123">
        <f t="shared" si="102"/>
        <v>5.4671910041557518E-2</v>
      </c>
      <c r="AH96" s="123">
        <f t="shared" si="103"/>
        <v>7.225869681443205E-3</v>
      </c>
      <c r="AI96" s="123" t="str">
        <f t="shared" si="104"/>
        <v/>
      </c>
      <c r="AJ96" s="123" t="str">
        <f t="shared" si="105"/>
        <v/>
      </c>
      <c r="AK96" s="123" t="str">
        <f t="shared" si="106"/>
        <v/>
      </c>
      <c r="AL96" s="123" t="str">
        <f t="shared" si="107"/>
        <v/>
      </c>
      <c r="AM96" s="123" t="str">
        <f t="shared" si="108"/>
        <v/>
      </c>
      <c r="AN96" s="123" t="str">
        <f t="shared" si="109"/>
        <v/>
      </c>
      <c r="AO96" s="123">
        <f t="shared" si="110"/>
        <v>1.5334618378771341E-7</v>
      </c>
      <c r="AP96" s="123" t="str">
        <f t="shared" si="111"/>
        <v/>
      </c>
      <c r="AQ96" s="131">
        <f t="shared" si="69"/>
        <v>8.8090787010640603E-2</v>
      </c>
      <c r="AR96" s="123">
        <f t="shared" si="70"/>
        <v>8.8090787010640603E-2</v>
      </c>
      <c r="AS96" s="1002"/>
      <c r="AT96" s="446">
        <v>8.8090787010640603E-2</v>
      </c>
      <c r="AU96" s="132">
        <f t="shared" si="71"/>
        <v>0.78877985608973966</v>
      </c>
      <c r="AV96" s="17"/>
      <c r="AW96" s="125">
        <f t="shared" si="72"/>
        <v>2.3365674975407202E-2</v>
      </c>
      <c r="AX96" s="16"/>
      <c r="AY96" s="26"/>
    </row>
    <row r="97" spans="1:51">
      <c r="A97" s="6">
        <v>21.431539957120549</v>
      </c>
      <c r="B97" s="512">
        <v>10.55434135139315</v>
      </c>
      <c r="C97" s="125">
        <v>10.576713562011719</v>
      </c>
      <c r="D97" s="124">
        <f t="shared" si="76"/>
        <v>3.5378345263008996E-11</v>
      </c>
      <c r="E97" s="124">
        <f t="shared" si="73"/>
        <v>0.5651745376220052</v>
      </c>
      <c r="F97" s="125">
        <f t="shared" si="33"/>
        <v>2.2372210618568644E-2</v>
      </c>
      <c r="G97" s="123">
        <f t="shared" si="34"/>
        <v>1.2616713285579139E-8</v>
      </c>
      <c r="H97" s="123">
        <f t="shared" si="77"/>
        <v>-1.1232414382304073E-4</v>
      </c>
      <c r="I97" s="124">
        <f t="shared" si="78"/>
        <v>5.3133006511944435E-2</v>
      </c>
      <c r="J97" s="124">
        <f t="shared" si="79"/>
        <v>5.3245330655767475E-2</v>
      </c>
      <c r="K97" s="125">
        <f t="shared" si="80"/>
        <v>0.5172759684844217</v>
      </c>
      <c r="L97" s="125">
        <f t="shared" si="81"/>
        <v>0.48272403151557824</v>
      </c>
      <c r="M97" s="123">
        <f t="shared" si="82"/>
        <v>1.0000211965243682</v>
      </c>
      <c r="N97" s="123">
        <f t="shared" si="83"/>
        <v>1.1320017791254404</v>
      </c>
      <c r="O97" s="123">
        <f t="shared" si="84"/>
        <v>9.4415494104957851</v>
      </c>
      <c r="P97" s="123">
        <f t="shared" si="85"/>
        <v>1.0000012577078781</v>
      </c>
      <c r="Q97" s="123">
        <f t="shared" si="86"/>
        <v>1.0620493899442174</v>
      </c>
      <c r="R97" s="123">
        <f t="shared" si="87"/>
        <v>1.2920408086441484</v>
      </c>
      <c r="S97" s="123">
        <f t="shared" si="88"/>
        <v>1</v>
      </c>
      <c r="T97" s="123">
        <f t="shared" si="89"/>
        <v>1</v>
      </c>
      <c r="U97" s="123">
        <f t="shared" si="90"/>
        <v>122344.18466360564</v>
      </c>
      <c r="V97" s="123">
        <f t="shared" si="91"/>
        <v>1.2920408086441484</v>
      </c>
      <c r="W97" s="19">
        <f t="shared" si="92"/>
        <v>2.1196091821973238E-5</v>
      </c>
      <c r="X97" s="19">
        <f t="shared" si="93"/>
        <v>0.11660916317013738</v>
      </c>
      <c r="Y97" s="19">
        <f t="shared" si="94"/>
        <v>0.89408542838940597</v>
      </c>
      <c r="Z97" s="19">
        <f t="shared" si="95"/>
        <v>1.2577062961617191E-6</v>
      </c>
      <c r="AA97" s="19">
        <f t="shared" si="96"/>
        <v>5.8424203743929801E-2</v>
      </c>
      <c r="AB97" s="19">
        <f t="shared" si="97"/>
        <v>0.22604182557450922</v>
      </c>
      <c r="AC97" s="19">
        <f t="shared" si="98"/>
        <v>2.2007959655560637E-18</v>
      </c>
      <c r="AD97" s="19">
        <f t="shared" si="99"/>
        <v>2.2007959655560637E-18</v>
      </c>
      <c r="AE97" s="19">
        <f t="shared" si="100"/>
        <v>0.99999182633810713</v>
      </c>
      <c r="AF97" s="19">
        <f t="shared" si="101"/>
        <v>0.22604182557450922</v>
      </c>
      <c r="AG97" s="123">
        <f t="shared" si="102"/>
        <v>5.4277539368481433E-2</v>
      </c>
      <c r="AH97" s="123">
        <f t="shared" si="103"/>
        <v>7.4825945124043407E-3</v>
      </c>
      <c r="AI97" s="123" t="str">
        <f t="shared" si="104"/>
        <v/>
      </c>
      <c r="AJ97" s="123" t="str">
        <f t="shared" si="105"/>
        <v/>
      </c>
      <c r="AK97" s="123" t="str">
        <f t="shared" si="106"/>
        <v/>
      </c>
      <c r="AL97" s="123" t="str">
        <f t="shared" si="107"/>
        <v/>
      </c>
      <c r="AM97" s="123" t="str">
        <f t="shared" si="108"/>
        <v/>
      </c>
      <c r="AN97" s="123" t="str">
        <f t="shared" si="109"/>
        <v/>
      </c>
      <c r="AO97" s="123">
        <f t="shared" si="110"/>
        <v>2.1140194358510384E-7</v>
      </c>
      <c r="AP97" s="123" t="str">
        <f t="shared" si="111"/>
        <v/>
      </c>
      <c r="AQ97" s="131">
        <f t="shared" si="69"/>
        <v>8.8187929586426503E-2</v>
      </c>
      <c r="AR97" s="123">
        <f t="shared" si="70"/>
        <v>8.8187929586426503E-2</v>
      </c>
      <c r="AS97" s="1002"/>
      <c r="AT97" s="446">
        <v>8.8187929586426503E-2</v>
      </c>
      <c r="AU97" s="132">
        <f t="shared" si="71"/>
        <v>0.78871687456460082</v>
      </c>
      <c r="AV97" s="17"/>
      <c r="AW97" s="125">
        <f t="shared" si="72"/>
        <v>2.2372210618568644E-2</v>
      </c>
      <c r="AX97" s="16"/>
      <c r="AY97" s="26"/>
    </row>
    <row r="98" spans="1:51">
      <c r="A98" s="6">
        <v>21.698694249789696</v>
      </c>
      <c r="B98" s="512">
        <v>10.734422648245941</v>
      </c>
      <c r="C98" s="125">
        <v>10.712287902832031</v>
      </c>
      <c r="D98" s="124">
        <f t="shared" si="76"/>
        <v>2.3373341596187889E-11</v>
      </c>
      <c r="E98" s="124">
        <f t="shared" si="73"/>
        <v>0.60234526427762458</v>
      </c>
      <c r="F98" s="125">
        <f t="shared" si="33"/>
        <v>-2.2134745413909584E-2</v>
      </c>
      <c r="G98" s="123">
        <f t="shared" si="34"/>
        <v>9.8284580095663843E-9</v>
      </c>
      <c r="H98" s="123">
        <f t="shared" si="77"/>
        <v>9.9138579824235851E-5</v>
      </c>
      <c r="I98" s="124">
        <f t="shared" si="78"/>
        <v>5.2792595114718129E-2</v>
      </c>
      <c r="J98" s="124">
        <f t="shared" si="79"/>
        <v>5.2693456534893893E-2</v>
      </c>
      <c r="K98" s="125">
        <f t="shared" si="80"/>
        <v>0.52036867437159939</v>
      </c>
      <c r="L98" s="125">
        <f t="shared" si="81"/>
        <v>0.47963132562840066</v>
      </c>
      <c r="M98" s="123">
        <f t="shared" si="82"/>
        <v>1.0000139913720678</v>
      </c>
      <c r="N98" s="123">
        <f t="shared" si="83"/>
        <v>1.0871834196354495</v>
      </c>
      <c r="O98" s="123">
        <f t="shared" si="84"/>
        <v>6.5737446409535529</v>
      </c>
      <c r="P98" s="123">
        <f t="shared" si="85"/>
        <v>1.0000008306802737</v>
      </c>
      <c r="Q98" s="123">
        <f t="shared" si="86"/>
        <v>1.040994048088441</v>
      </c>
      <c r="R98" s="123">
        <f t="shared" si="87"/>
        <v>1.1928240435284159</v>
      </c>
      <c r="S98" s="123">
        <f t="shared" si="88"/>
        <v>1</v>
      </c>
      <c r="T98" s="123">
        <f t="shared" si="89"/>
        <v>1</v>
      </c>
      <c r="U98" s="123">
        <f t="shared" si="90"/>
        <v>80805.192999511768</v>
      </c>
      <c r="V98" s="123">
        <f t="shared" si="91"/>
        <v>1.1928240435284159</v>
      </c>
      <c r="W98" s="19">
        <f t="shared" si="92"/>
        <v>1.3991183606704761E-5</v>
      </c>
      <c r="X98" s="19">
        <f t="shared" si="93"/>
        <v>8.0192006718501116E-2</v>
      </c>
      <c r="Y98" s="19">
        <f t="shared" si="94"/>
        <v>0.84787985620624284</v>
      </c>
      <c r="Z98" s="19">
        <f t="shared" si="95"/>
        <v>8.3067958357540938E-7</v>
      </c>
      <c r="AA98" s="19">
        <f t="shared" si="96"/>
        <v>3.937971419117868E-2</v>
      </c>
      <c r="AB98" s="19">
        <f t="shared" si="97"/>
        <v>0.16165866882207255</v>
      </c>
      <c r="AC98" s="19">
        <f t="shared" si="98"/>
        <v>1.4535631260728191E-18</v>
      </c>
      <c r="AD98" s="19">
        <f t="shared" si="99"/>
        <v>1.4535631260728191E-18</v>
      </c>
      <c r="AE98" s="19">
        <f t="shared" si="100"/>
        <v>0.99998762455774337</v>
      </c>
      <c r="AF98" s="19">
        <f t="shared" si="101"/>
        <v>0.16165866882207255</v>
      </c>
      <c r="AG98" s="123">
        <f t="shared" si="102"/>
        <v>5.3930011071562749E-2</v>
      </c>
      <c r="AH98" s="123">
        <f t="shared" si="103"/>
        <v>7.7411435298550164E-3</v>
      </c>
      <c r="AI98" s="123" t="str">
        <f t="shared" si="104"/>
        <v/>
      </c>
      <c r="AJ98" s="123" t="str">
        <f t="shared" si="105"/>
        <v/>
      </c>
      <c r="AK98" s="123" t="str">
        <f t="shared" si="106"/>
        <v/>
      </c>
      <c r="AL98" s="123" t="str">
        <f t="shared" si="107"/>
        <v/>
      </c>
      <c r="AM98" s="123" t="str">
        <f t="shared" si="108"/>
        <v/>
      </c>
      <c r="AN98" s="123" t="str">
        <f t="shared" si="109"/>
        <v/>
      </c>
      <c r="AO98" s="123">
        <f t="shared" si="110"/>
        <v>3.2198962409182261E-7</v>
      </c>
      <c r="AP98" s="123" t="str">
        <f t="shared" si="111"/>
        <v/>
      </c>
      <c r="AQ98" s="131">
        <f t="shared" si="69"/>
        <v>8.8369151122515532E-2</v>
      </c>
      <c r="AR98" s="123">
        <f t="shared" si="70"/>
        <v>8.8369151122515532E-2</v>
      </c>
      <c r="AS98" s="1002"/>
      <c r="AT98" s="446">
        <v>8.8369151122515532E-2</v>
      </c>
      <c r="AU98" s="132">
        <f t="shared" si="71"/>
        <v>0.78859958741816194</v>
      </c>
      <c r="AV98" s="17"/>
      <c r="AW98" s="125">
        <f t="shared" si="72"/>
        <v>-2.2134745413909584E-2</v>
      </c>
      <c r="AX98" s="16"/>
      <c r="AY98" s="26"/>
    </row>
    <row r="99" spans="1:51">
      <c r="A99" s="6">
        <v>21.950749414099846</v>
      </c>
      <c r="B99" s="512">
        <v>10.868167724032876</v>
      </c>
      <c r="C99" s="125">
        <v>10.848320007324219</v>
      </c>
      <c r="D99" s="124">
        <f t="shared" si="76"/>
        <v>1.7179022632581533E-11</v>
      </c>
      <c r="E99" s="124">
        <f t="shared" si="73"/>
        <v>0.48644457655932849</v>
      </c>
      <c r="F99" s="125">
        <f t="shared" si="33"/>
        <v>-1.9847716708657259E-2</v>
      </c>
      <c r="G99" s="123">
        <f t="shared" si="34"/>
        <v>7.4462103395330908E-9</v>
      </c>
      <c r="H99" s="123">
        <f t="shared" si="77"/>
        <v>8.6291426802047322E-5</v>
      </c>
      <c r="I99" s="124">
        <f t="shared" si="78"/>
        <v>5.2475398248825501E-2</v>
      </c>
      <c r="J99" s="124">
        <f t="shared" si="79"/>
        <v>5.2389106822023454E-2</v>
      </c>
      <c r="K99" s="125">
        <f t="shared" si="80"/>
        <v>0.52325047158089855</v>
      </c>
      <c r="L99" s="125">
        <f t="shared" si="81"/>
        <v>0.47674952841910151</v>
      </c>
      <c r="M99" s="123">
        <f t="shared" si="82"/>
        <v>1.0000102801999777</v>
      </c>
      <c r="N99" s="123">
        <f t="shared" si="83"/>
        <v>1.0640716785449835</v>
      </c>
      <c r="O99" s="123">
        <f t="shared" si="84"/>
        <v>5.0957534591986162</v>
      </c>
      <c r="P99" s="123">
        <f t="shared" si="85"/>
        <v>1.000000610472493</v>
      </c>
      <c r="Q99" s="123">
        <f t="shared" si="86"/>
        <v>1.0301299528359831</v>
      </c>
      <c r="R99" s="123">
        <f t="shared" si="87"/>
        <v>1.1416916253665443</v>
      </c>
      <c r="S99" s="123">
        <f t="shared" si="88"/>
        <v>1</v>
      </c>
      <c r="T99" s="123">
        <f t="shared" si="89"/>
        <v>1</v>
      </c>
      <c r="U99" s="123">
        <f t="shared" si="90"/>
        <v>59384.54228108166</v>
      </c>
      <c r="V99" s="123">
        <f t="shared" si="91"/>
        <v>1.1416916253665443</v>
      </c>
      <c r="W99" s="19">
        <f t="shared" si="92"/>
        <v>1.0280098234701886E-5</v>
      </c>
      <c r="X99" s="19">
        <f t="shared" si="93"/>
        <v>6.0213686806333239E-2</v>
      </c>
      <c r="Y99" s="19">
        <f t="shared" si="94"/>
        <v>0.8037582749637654</v>
      </c>
      <c r="Z99" s="19">
        <f t="shared" si="95"/>
        <v>6.1047212037790873E-7</v>
      </c>
      <c r="AA99" s="19">
        <f t="shared" si="96"/>
        <v>2.9248691151086595E-2</v>
      </c>
      <c r="AB99" s="19">
        <f t="shared" si="97"/>
        <v>0.12410972131091992</v>
      </c>
      <c r="AC99" s="19">
        <f t="shared" si="98"/>
        <v>1.0682332704676223E-18</v>
      </c>
      <c r="AD99" s="19">
        <f t="shared" si="99"/>
        <v>1.0682332704676223E-18</v>
      </c>
      <c r="AE99" s="19">
        <f t="shared" si="100"/>
        <v>0.9999831606010321</v>
      </c>
      <c r="AF99" s="19">
        <f t="shared" si="101"/>
        <v>0.12410972131091992</v>
      </c>
      <c r="AG99" s="123">
        <f t="shared" si="102"/>
        <v>5.3606090723252162E-2</v>
      </c>
      <c r="AH99" s="123">
        <f t="shared" si="103"/>
        <v>7.8617601184413216E-3</v>
      </c>
      <c r="AI99" s="123" t="str">
        <f t="shared" si="104"/>
        <v/>
      </c>
      <c r="AJ99" s="123" t="str">
        <f t="shared" si="105"/>
        <v/>
      </c>
      <c r="AK99" s="123" t="str">
        <f t="shared" si="106"/>
        <v/>
      </c>
      <c r="AL99" s="123" t="str">
        <f t="shared" si="107"/>
        <v/>
      </c>
      <c r="AM99" s="123" t="str">
        <f t="shared" si="108"/>
        <v/>
      </c>
      <c r="AN99" s="123" t="str">
        <f t="shared" si="109"/>
        <v/>
      </c>
      <c r="AO99" s="123">
        <f t="shared" si="110"/>
        <v>4.4056117255583555E-7</v>
      </c>
      <c r="AP99" s="123" t="str">
        <f t="shared" si="111"/>
        <v/>
      </c>
      <c r="AQ99" s="131">
        <f t="shared" si="69"/>
        <v>8.8432996099892414E-2</v>
      </c>
      <c r="AR99" s="123">
        <f t="shared" si="70"/>
        <v>8.8432996099892414E-2</v>
      </c>
      <c r="AS99" s="1002"/>
      <c r="AT99" s="446">
        <v>8.8432996099892414E-2</v>
      </c>
      <c r="AU99" s="132">
        <f t="shared" si="71"/>
        <v>0.7885583305702889</v>
      </c>
      <c r="AV99" s="17"/>
      <c r="AW99" s="125">
        <f t="shared" si="72"/>
        <v>-1.9847716708657259E-2</v>
      </c>
      <c r="AX99" s="16"/>
      <c r="AY99" s="26"/>
    </row>
    <row r="100" spans="1:51">
      <c r="A100" s="6">
        <v>22.207322194299195</v>
      </c>
      <c r="B100" s="512">
        <v>10.981642393549766</v>
      </c>
      <c r="C100" s="125">
        <v>10.984977722167969</v>
      </c>
      <c r="D100" s="124">
        <f t="shared" si="76"/>
        <v>1.322911707893406E-11</v>
      </c>
      <c r="E100" s="124">
        <f t="shared" si="73"/>
        <v>0.44805216469906783</v>
      </c>
      <c r="F100" s="125">
        <f t="shared" si="33"/>
        <v>3.3353286182027375E-3</v>
      </c>
      <c r="G100" s="123">
        <f t="shared" si="34"/>
        <v>2.3039642477755224E-10</v>
      </c>
      <c r="H100" s="123">
        <f t="shared" si="77"/>
        <v>-1.5178814999121382E-5</v>
      </c>
      <c r="I100" s="124">
        <f t="shared" si="78"/>
        <v>5.2156407179958592E-2</v>
      </c>
      <c r="J100" s="124">
        <f t="shared" si="79"/>
        <v>5.2171585994957713E-2</v>
      </c>
      <c r="K100" s="125">
        <f t="shared" si="80"/>
        <v>0.52614856948443567</v>
      </c>
      <c r="L100" s="125">
        <f t="shared" si="81"/>
        <v>0.47385143051556428</v>
      </c>
      <c r="M100" s="123">
        <f t="shared" si="82"/>
        <v>1.0000079157390116</v>
      </c>
      <c r="N100" s="123">
        <f t="shared" si="83"/>
        <v>1.0493383196313111</v>
      </c>
      <c r="O100" s="123">
        <f t="shared" si="84"/>
        <v>4.1538271732467109</v>
      </c>
      <c r="P100" s="123">
        <f t="shared" si="85"/>
        <v>1.0000004700936154</v>
      </c>
      <c r="Q100" s="123">
        <f t="shared" si="86"/>
        <v>1.0232022905013243</v>
      </c>
      <c r="R100" s="123">
        <f t="shared" si="87"/>
        <v>1.1091053081794056</v>
      </c>
      <c r="S100" s="123">
        <f t="shared" si="88"/>
        <v>1</v>
      </c>
      <c r="T100" s="123">
        <f t="shared" si="89"/>
        <v>1</v>
      </c>
      <c r="U100" s="123">
        <f t="shared" si="90"/>
        <v>45729.225934291637</v>
      </c>
      <c r="V100" s="123">
        <f t="shared" si="91"/>
        <v>1.1091053081794056</v>
      </c>
      <c r="W100" s="19">
        <f t="shared" si="92"/>
        <v>7.9156786883767129E-6</v>
      </c>
      <c r="X100" s="19">
        <f t="shared" si="93"/>
        <v>4.7018505713932415E-2</v>
      </c>
      <c r="Y100" s="19">
        <f t="shared" si="94"/>
        <v>0.75925823784000745</v>
      </c>
      <c r="Z100" s="19">
        <f t="shared" si="95"/>
        <v>4.7009339446071226E-7</v>
      </c>
      <c r="AA100" s="19">
        <f t="shared" si="96"/>
        <v>2.267615183890585E-2</v>
      </c>
      <c r="AB100" s="19">
        <f t="shared" si="97"/>
        <v>9.8374181283144901E-2</v>
      </c>
      <c r="AC100" s="19">
        <f t="shared" si="98"/>
        <v>8.2259175633637427E-19</v>
      </c>
      <c r="AD100" s="19">
        <f t="shared" si="99"/>
        <v>8.2259175633637427E-19</v>
      </c>
      <c r="AE100" s="19">
        <f t="shared" si="100"/>
        <v>0.99997813214679299</v>
      </c>
      <c r="AF100" s="19">
        <f t="shared" si="101"/>
        <v>9.8374181283144901E-2</v>
      </c>
      <c r="AG100" s="123">
        <f t="shared" si="102"/>
        <v>5.3280296310511094E-2</v>
      </c>
      <c r="AH100" s="123">
        <f t="shared" si="103"/>
        <v>7.9236824722277808E-3</v>
      </c>
      <c r="AI100" s="123" t="str">
        <f t="shared" si="104"/>
        <v/>
      </c>
      <c r="AJ100" s="123" t="str">
        <f t="shared" si="105"/>
        <v/>
      </c>
      <c r="AK100" s="123" t="str">
        <f t="shared" si="106"/>
        <v/>
      </c>
      <c r="AL100" s="123" t="str">
        <f t="shared" si="107"/>
        <v/>
      </c>
      <c r="AM100" s="123" t="str">
        <f t="shared" si="108"/>
        <v/>
      </c>
      <c r="AN100" s="123" t="str">
        <f t="shared" si="109"/>
        <v/>
      </c>
      <c r="AO100" s="123">
        <f t="shared" si="110"/>
        <v>5.7528698412745827E-7</v>
      </c>
      <c r="AP100" s="123" t="str">
        <f t="shared" si="111"/>
        <v/>
      </c>
      <c r="AQ100" s="131">
        <f t="shared" si="69"/>
        <v>8.8452893541792504E-2</v>
      </c>
      <c r="AR100" s="123">
        <f t="shared" si="70"/>
        <v>8.8452893541792504E-2</v>
      </c>
      <c r="AS100" s="1002"/>
      <c r="AT100" s="446">
        <v>8.8452893541792504E-2</v>
      </c>
      <c r="AU100" s="132">
        <f t="shared" si="71"/>
        <v>0.78854547955879672</v>
      </c>
      <c r="AV100" s="17"/>
      <c r="AW100" s="125">
        <f t="shared" si="72"/>
        <v>3.3353286182027375E-3</v>
      </c>
      <c r="AX100" s="16"/>
      <c r="AY100" s="26"/>
    </row>
    <row r="101" spans="1:51">
      <c r="A101" s="6">
        <v>22.491481258475687</v>
      </c>
      <c r="B101" s="512">
        <v>11.110603281563485</v>
      </c>
      <c r="C101" s="125">
        <v>11.122184753417969</v>
      </c>
      <c r="D101" s="124">
        <f t="shared" si="76"/>
        <v>9.8308159419079966E-12</v>
      </c>
      <c r="E101" s="124">
        <f t="shared" si="73"/>
        <v>0.46524593977633544</v>
      </c>
      <c r="F101" s="125">
        <f t="shared" si="33"/>
        <v>1.1581471854483993E-2</v>
      </c>
      <c r="G101" s="123">
        <f t="shared" si="34"/>
        <v>3.5285703757215133E-9</v>
      </c>
      <c r="H101" s="123">
        <f t="shared" si="77"/>
        <v>-5.9401770813011234E-5</v>
      </c>
      <c r="I101" s="124">
        <f t="shared" si="78"/>
        <v>5.1807614541619855E-2</v>
      </c>
      <c r="J101" s="124">
        <f t="shared" si="79"/>
        <v>5.1867016312432866E-2</v>
      </c>
      <c r="K101" s="125">
        <f t="shared" si="80"/>
        <v>0.52931742062979648</v>
      </c>
      <c r="L101" s="125">
        <f t="shared" si="81"/>
        <v>0.47068257937020358</v>
      </c>
      <c r="M101" s="123">
        <f t="shared" si="82"/>
        <v>1.0000058807481476</v>
      </c>
      <c r="N101" s="123">
        <f t="shared" si="83"/>
        <v>1.0366609633422597</v>
      </c>
      <c r="O101" s="123">
        <f t="shared" si="84"/>
        <v>3.3432477676107153</v>
      </c>
      <c r="P101" s="123">
        <f t="shared" si="85"/>
        <v>1.0000003493042517</v>
      </c>
      <c r="Q101" s="123">
        <f t="shared" si="86"/>
        <v>1.0172420763977075</v>
      </c>
      <c r="R101" s="123">
        <f t="shared" si="87"/>
        <v>1.0810632755954162</v>
      </c>
      <c r="S101" s="123">
        <f t="shared" si="88"/>
        <v>1</v>
      </c>
      <c r="T101" s="123">
        <f t="shared" si="89"/>
        <v>1</v>
      </c>
      <c r="U101" s="123">
        <f t="shared" si="90"/>
        <v>33979.47410464182</v>
      </c>
      <c r="V101" s="123">
        <f t="shared" si="91"/>
        <v>1.0810632755954162</v>
      </c>
      <c r="W101" s="19">
        <f t="shared" si="92"/>
        <v>5.880714853679488E-6</v>
      </c>
      <c r="X101" s="19">
        <f t="shared" si="93"/>
        <v>3.5364467959464414E-2</v>
      </c>
      <c r="Y101" s="19">
        <f t="shared" si="94"/>
        <v>0.70088970689607866</v>
      </c>
      <c r="Z101" s="19">
        <f t="shared" si="95"/>
        <v>3.4930412963698416E-7</v>
      </c>
      <c r="AA101" s="19">
        <f t="shared" si="96"/>
        <v>1.694982619944882E-2</v>
      </c>
      <c r="AB101" s="19">
        <f t="shared" si="97"/>
        <v>7.4985795722159854E-2</v>
      </c>
      <c r="AC101" s="19">
        <f t="shared" si="98"/>
        <v>6.1122888807298129E-19</v>
      </c>
      <c r="AD101" s="19">
        <f t="shared" si="99"/>
        <v>6.1122888807298129E-19</v>
      </c>
      <c r="AE101" s="19">
        <f t="shared" si="100"/>
        <v>0.99997057046860349</v>
      </c>
      <c r="AF101" s="19">
        <f t="shared" si="101"/>
        <v>7.4985795722159854E-2</v>
      </c>
      <c r="AG101" s="123">
        <f t="shared" si="102"/>
        <v>5.2924047568164705E-2</v>
      </c>
      <c r="AH101" s="123">
        <f t="shared" si="103"/>
        <v>7.9669442837628241E-3</v>
      </c>
      <c r="AI101" s="123" t="str">
        <f t="shared" si="104"/>
        <v/>
      </c>
      <c r="AJ101" s="123" t="str">
        <f t="shared" si="105"/>
        <v/>
      </c>
      <c r="AK101" s="123" t="str">
        <f t="shared" si="106"/>
        <v/>
      </c>
      <c r="AL101" s="123" t="str">
        <f t="shared" si="107"/>
        <v/>
      </c>
      <c r="AM101" s="123" t="str">
        <f t="shared" si="108"/>
        <v/>
      </c>
      <c r="AN101" s="123" t="str">
        <f t="shared" si="109"/>
        <v/>
      </c>
      <c r="AO101" s="123">
        <f t="shared" si="110"/>
        <v>7.788781824576389E-7</v>
      </c>
      <c r="AP101" s="123" t="str">
        <f t="shared" si="111"/>
        <v/>
      </c>
      <c r="AQ101" s="131">
        <f t="shared" si="69"/>
        <v>8.850799970846307E-2</v>
      </c>
      <c r="AR101" s="123">
        <f t="shared" si="70"/>
        <v>8.850799970846307E-2</v>
      </c>
      <c r="AS101" s="1002"/>
      <c r="AT101" s="446">
        <v>8.850799970846307E-2</v>
      </c>
      <c r="AU101" s="132">
        <f t="shared" si="71"/>
        <v>0.78850990536786525</v>
      </c>
      <c r="AV101" s="17"/>
      <c r="AW101" s="125">
        <f t="shared" si="72"/>
        <v>1.1581471854483993E-2</v>
      </c>
      <c r="AX101" s="16"/>
      <c r="AY101" s="26"/>
    </row>
    <row r="102" spans="1:51">
      <c r="A102" s="6">
        <v>22.831461780879181</v>
      </c>
      <c r="B102" s="512">
        <v>11.272657863965625</v>
      </c>
      <c r="C102" s="125">
        <v>11.259651184082031</v>
      </c>
      <c r="D102" s="124">
        <f t="shared" si="76"/>
        <v>6.7700601378210673E-12</v>
      </c>
      <c r="E102" s="124">
        <f t="shared" si="73"/>
        <v>0.40731953756749351</v>
      </c>
      <c r="F102" s="125">
        <f t="shared" si="33"/>
        <v>-1.3006679883593719E-2</v>
      </c>
      <c r="G102" s="123">
        <f t="shared" si="34"/>
        <v>6.830633549787297E-9</v>
      </c>
      <c r="H102" s="123">
        <f t="shared" si="77"/>
        <v>8.2647646970662736E-5</v>
      </c>
      <c r="I102" s="124">
        <f t="shared" si="78"/>
        <v>5.1396384592325858E-2</v>
      </c>
      <c r="J102" s="124">
        <f t="shared" si="79"/>
        <v>5.1313736945355196E-2</v>
      </c>
      <c r="K102" s="125">
        <f t="shared" si="80"/>
        <v>0.53305352728053756</v>
      </c>
      <c r="L102" s="125">
        <f t="shared" si="81"/>
        <v>0.46694647271946249</v>
      </c>
      <c r="M102" s="123">
        <f t="shared" si="82"/>
        <v>1.0000040465997393</v>
      </c>
      <c r="N102" s="123">
        <f t="shared" si="83"/>
        <v>1.0252401392292416</v>
      </c>
      <c r="O102" s="123">
        <f t="shared" si="84"/>
        <v>2.6128388926504602</v>
      </c>
      <c r="P102" s="123">
        <f t="shared" si="85"/>
        <v>1.000000240487078</v>
      </c>
      <c r="Q102" s="123">
        <f t="shared" si="86"/>
        <v>1.0118738764720205</v>
      </c>
      <c r="R102" s="123">
        <f t="shared" si="87"/>
        <v>1.0557949734091927</v>
      </c>
      <c r="S102" s="123">
        <f t="shared" si="88"/>
        <v>1</v>
      </c>
      <c r="T102" s="123">
        <f t="shared" si="89"/>
        <v>1</v>
      </c>
      <c r="U102" s="123">
        <f t="shared" si="90"/>
        <v>23394.31374845235</v>
      </c>
      <c r="V102" s="123">
        <f t="shared" si="91"/>
        <v>1.0557949734091927</v>
      </c>
      <c r="W102" s="19">
        <f t="shared" si="92"/>
        <v>4.0465839750102393E-6</v>
      </c>
      <c r="X102" s="19">
        <f t="shared" si="93"/>
        <v>2.4618758378374871E-2</v>
      </c>
      <c r="Y102" s="19">
        <f t="shared" si="94"/>
        <v>0.61727456010830528</v>
      </c>
      <c r="Z102" s="19">
        <f t="shared" si="95"/>
        <v>2.404870201719309E-7</v>
      </c>
      <c r="AA102" s="19">
        <f t="shared" si="96"/>
        <v>1.1734541970210495E-2</v>
      </c>
      <c r="AB102" s="19">
        <f t="shared" si="97"/>
        <v>5.2846909555124319E-2</v>
      </c>
      <c r="AC102" s="19">
        <f t="shared" si="98"/>
        <v>4.208155171057396E-19</v>
      </c>
      <c r="AD102" s="19">
        <f t="shared" si="99"/>
        <v>4.208155171057396E-19</v>
      </c>
      <c r="AE102" s="19">
        <f t="shared" si="100"/>
        <v>0.99995725457003126</v>
      </c>
      <c r="AF102" s="19">
        <f t="shared" si="101"/>
        <v>5.2846909555124319E-2</v>
      </c>
      <c r="AG102" s="123">
        <f t="shared" si="102"/>
        <v>5.2504009280365832E-2</v>
      </c>
      <c r="AH102" s="123">
        <f t="shared" si="103"/>
        <v>7.991750159379897E-3</v>
      </c>
      <c r="AI102" s="123" t="str">
        <f t="shared" si="104"/>
        <v/>
      </c>
      <c r="AJ102" s="123" t="str">
        <f t="shared" si="105"/>
        <v/>
      </c>
      <c r="AK102" s="123" t="str">
        <f t="shared" si="106"/>
        <v/>
      </c>
      <c r="AL102" s="123" t="str">
        <f t="shared" si="107"/>
        <v/>
      </c>
      <c r="AM102" s="123" t="str">
        <f t="shared" si="108"/>
        <v/>
      </c>
      <c r="AN102" s="123" t="str">
        <f t="shared" si="109"/>
        <v/>
      </c>
      <c r="AO102" s="123">
        <f t="shared" si="110"/>
        <v>1.1392801109966341E-6</v>
      </c>
      <c r="AP102" s="123" t="str">
        <f t="shared" si="111"/>
        <v/>
      </c>
      <c r="AQ102" s="131">
        <f t="shared" si="69"/>
        <v>8.8670050765994143E-2</v>
      </c>
      <c r="AR102" s="123">
        <f t="shared" si="70"/>
        <v>8.8670050765994143E-2</v>
      </c>
      <c r="AS102" s="1002"/>
      <c r="AT102" s="446">
        <v>8.8670050765994143E-2</v>
      </c>
      <c r="AU102" s="132">
        <f t="shared" si="71"/>
        <v>0.78840543506792926</v>
      </c>
      <c r="AV102" s="17"/>
      <c r="AW102" s="125">
        <f t="shared" si="72"/>
        <v>-1.3006679883593719E-2</v>
      </c>
      <c r="AX102" s="16"/>
      <c r="AY102" s="26"/>
    </row>
    <row r="103" spans="1:51">
      <c r="A103" s="5">
        <v>23.263700974348467</v>
      </c>
      <c r="B103" s="512">
        <v>11.418746344965863</v>
      </c>
      <c r="C103" s="125">
        <v>11.397163391113281</v>
      </c>
      <c r="D103" s="124">
        <f t="shared" si="76"/>
        <v>4.8368323888561023E-12</v>
      </c>
      <c r="E103" s="124">
        <f t="shared" si="73"/>
        <v>0.2786025783046992</v>
      </c>
      <c r="F103" s="125">
        <f t="shared" si="33"/>
        <v>-2.1582953852581355E-2</v>
      </c>
      <c r="G103" s="123">
        <f t="shared" si="34"/>
        <v>3.1323718897626357E-8</v>
      </c>
      <c r="H103" s="123">
        <f t="shared" si="77"/>
        <v>1.7698508100296578E-4</v>
      </c>
      <c r="I103" s="124">
        <f t="shared" si="78"/>
        <v>5.0882893343932749E-2</v>
      </c>
      <c r="J103" s="124">
        <f t="shared" si="79"/>
        <v>5.0705908262929783E-2</v>
      </c>
      <c r="K103" s="125">
        <f t="shared" si="80"/>
        <v>0.53771869836428876</v>
      </c>
      <c r="L103" s="125">
        <f t="shared" si="81"/>
        <v>0.46228130163571129</v>
      </c>
      <c r="M103" s="123">
        <f t="shared" si="82"/>
        <v>1.0000028887954207</v>
      </c>
      <c r="N103" s="123">
        <f t="shared" si="83"/>
        <v>1.0180279469960134</v>
      </c>
      <c r="O103" s="123">
        <f t="shared" si="84"/>
        <v>2.1516791980172747</v>
      </c>
      <c r="P103" s="123">
        <f t="shared" si="85"/>
        <v>1.0000001717695872</v>
      </c>
      <c r="Q103" s="123">
        <f t="shared" si="86"/>
        <v>1.0084832260174914</v>
      </c>
      <c r="R103" s="123">
        <f t="shared" si="87"/>
        <v>1.0398413863398557</v>
      </c>
      <c r="S103" s="123">
        <f t="shared" si="88"/>
        <v>1</v>
      </c>
      <c r="T103" s="123">
        <f t="shared" si="89"/>
        <v>1</v>
      </c>
      <c r="U103" s="123">
        <f t="shared" si="90"/>
        <v>16709.83891211433</v>
      </c>
      <c r="V103" s="123">
        <f t="shared" si="91"/>
        <v>1.0398413863398557</v>
      </c>
      <c r="W103" s="19">
        <f t="shared" si="92"/>
        <v>2.888787386626042E-6</v>
      </c>
      <c r="X103" s="19">
        <f t="shared" si="93"/>
        <v>1.7708695590068265E-2</v>
      </c>
      <c r="Y103" s="19">
        <f t="shared" si="94"/>
        <v>0.53524672388782402</v>
      </c>
      <c r="Z103" s="19">
        <f t="shared" si="95"/>
        <v>1.7176955773944771E-7</v>
      </c>
      <c r="AA103" s="19">
        <f t="shared" si="96"/>
        <v>8.4118662548228525E-3</v>
      </c>
      <c r="AB103" s="19">
        <f t="shared" si="97"/>
        <v>3.8315127854049551E-2</v>
      </c>
      <c r="AC103" s="19">
        <f t="shared" si="98"/>
        <v>3.0057044344574927E-19</v>
      </c>
      <c r="AD103" s="19">
        <f t="shared" si="99"/>
        <v>3.0057044344574927E-19</v>
      </c>
      <c r="AE103" s="19">
        <f t="shared" si="100"/>
        <v>0.99994015501853373</v>
      </c>
      <c r="AF103" s="19">
        <f t="shared" si="101"/>
        <v>3.8315127854049551E-2</v>
      </c>
      <c r="AG103" s="123">
        <f t="shared" si="102"/>
        <v>5.1979485404180632E-2</v>
      </c>
      <c r="AH103" s="123">
        <f t="shared" si="103"/>
        <v>7.9679578341073538E-3</v>
      </c>
      <c r="AI103" s="123" t="str">
        <f t="shared" si="104"/>
        <v/>
      </c>
      <c r="AJ103" s="123" t="str">
        <f t="shared" si="105"/>
        <v/>
      </c>
      <c r="AK103" s="123" t="str">
        <f t="shared" si="106"/>
        <v/>
      </c>
      <c r="AL103" s="123" t="str">
        <f t="shared" si="107"/>
        <v/>
      </c>
      <c r="AM103" s="123" t="str">
        <f t="shared" si="108"/>
        <v/>
      </c>
      <c r="AN103" s="123" t="str">
        <f t="shared" si="109"/>
        <v/>
      </c>
      <c r="AO103" s="123">
        <f t="shared" si="110"/>
        <v>1.6089882768841429E-6</v>
      </c>
      <c r="AP103" s="123" t="str">
        <f t="shared" si="111"/>
        <v/>
      </c>
      <c r="AQ103" s="131">
        <f t="shared" si="69"/>
        <v>8.8830854398690984E-2</v>
      </c>
      <c r="AR103" s="123">
        <f t="shared" si="70"/>
        <v>8.8830854398690984E-2</v>
      </c>
      <c r="AS103" s="1002"/>
      <c r="AT103" s="446">
        <v>8.8830854398690984E-2</v>
      </c>
      <c r="AU103" s="132">
        <f t="shared" si="71"/>
        <v>0.78830197933375667</v>
      </c>
      <c r="AV103" s="17"/>
      <c r="AW103" s="125">
        <f t="shared" si="72"/>
        <v>-2.1582953852581355E-2</v>
      </c>
      <c r="AX103" s="16"/>
      <c r="AY103" s="26"/>
    </row>
    <row r="104" spans="1:51">
      <c r="A104" s="5">
        <v>23.837788712990005</v>
      </c>
      <c r="B104" s="512">
        <v>11.544600449625474</v>
      </c>
      <c r="C104" s="125">
        <v>11.534584045410156</v>
      </c>
      <c r="D104" s="124">
        <f t="shared" si="76"/>
        <v>3.6203181468374844E-12</v>
      </c>
      <c r="E104" s="124">
        <f t="shared" si="73"/>
        <v>0.21877131435016478</v>
      </c>
      <c r="F104" s="125">
        <f t="shared" si="33"/>
        <v>-1.0016404215317465E-2</v>
      </c>
      <c r="G104" s="123">
        <f t="shared" si="34"/>
        <v>1.1464254626292158E-8</v>
      </c>
      <c r="H104" s="123">
        <f t="shared" si="77"/>
        <v>1.070712595718018E-4</v>
      </c>
      <c r="I104" s="124">
        <f t="shared" si="78"/>
        <v>5.0216544834280369E-2</v>
      </c>
      <c r="J104" s="124">
        <f t="shared" si="79"/>
        <v>5.0109473574708567E-2</v>
      </c>
      <c r="K104" s="125">
        <f t="shared" si="80"/>
        <v>0.54377260835527486</v>
      </c>
      <c r="L104" s="125">
        <f t="shared" si="81"/>
        <v>0.45622739164472509</v>
      </c>
      <c r="M104" s="123">
        <f t="shared" si="82"/>
        <v>1.0000021610442078</v>
      </c>
      <c r="N104" s="123">
        <f t="shared" si="83"/>
        <v>1.0134912553999675</v>
      </c>
      <c r="O104" s="123">
        <f t="shared" si="84"/>
        <v>1.8617037882064051</v>
      </c>
      <c r="P104" s="123">
        <f t="shared" si="85"/>
        <v>1.0000001285441638</v>
      </c>
      <c r="Q104" s="123">
        <f t="shared" si="86"/>
        <v>1.0063496054082022</v>
      </c>
      <c r="R104" s="123">
        <f t="shared" si="87"/>
        <v>1.0298098771952511</v>
      </c>
      <c r="S104" s="123">
        <f t="shared" si="88"/>
        <v>1</v>
      </c>
      <c r="T104" s="123">
        <f t="shared" si="89"/>
        <v>1</v>
      </c>
      <c r="U104" s="123">
        <f t="shared" si="90"/>
        <v>12505.097849383057</v>
      </c>
      <c r="V104" s="123">
        <f t="shared" si="91"/>
        <v>1.0298098771952511</v>
      </c>
      <c r="W104" s="19">
        <f t="shared" si="92"/>
        <v>2.1610397120801668E-6</v>
      </c>
      <c r="X104" s="19">
        <f t="shared" si="93"/>
        <v>1.3311664347392669E-2</v>
      </c>
      <c r="Y104" s="19">
        <f t="shared" si="94"/>
        <v>0.46285763506864724</v>
      </c>
      <c r="Z104" s="19">
        <f t="shared" si="95"/>
        <v>1.2854414730173994E-7</v>
      </c>
      <c r="AA104" s="19">
        <f t="shared" si="96"/>
        <v>6.3095423042637275E-3</v>
      </c>
      <c r="AB104" s="19">
        <f t="shared" si="97"/>
        <v>2.894711796663825E-2</v>
      </c>
      <c r="AC104" s="19">
        <f t="shared" si="98"/>
        <v>2.2493257941179792E-19</v>
      </c>
      <c r="AD104" s="19">
        <f t="shared" si="99"/>
        <v>2.2493257941179792E-19</v>
      </c>
      <c r="AE104" s="19">
        <f t="shared" si="100"/>
        <v>0.99992003261293561</v>
      </c>
      <c r="AF104" s="19">
        <f t="shared" si="101"/>
        <v>2.894711796663825E-2</v>
      </c>
      <c r="AG104" s="123">
        <f t="shared" si="102"/>
        <v>5.1298796963987883E-2</v>
      </c>
      <c r="AH104" s="123">
        <f t="shared" si="103"/>
        <v>7.8988115189692933E-3</v>
      </c>
      <c r="AI104" s="123" t="str">
        <f t="shared" si="104"/>
        <v/>
      </c>
      <c r="AJ104" s="123" t="str">
        <f t="shared" si="105"/>
        <v/>
      </c>
      <c r="AK104" s="123" t="str">
        <f t="shared" si="106"/>
        <v/>
      </c>
      <c r="AL104" s="123" t="str">
        <f t="shared" si="107"/>
        <v/>
      </c>
      <c r="AM104" s="123" t="str">
        <f t="shared" si="108"/>
        <v/>
      </c>
      <c r="AN104" s="123" t="str">
        <f t="shared" si="109"/>
        <v/>
      </c>
      <c r="AO104" s="123">
        <f t="shared" si="110"/>
        <v>2.1742037323686438E-6</v>
      </c>
      <c r="AP104" s="123" t="str">
        <f t="shared" si="111"/>
        <v/>
      </c>
      <c r="AQ104" s="131">
        <f t="shared" si="69"/>
        <v>8.894334104176442E-2</v>
      </c>
      <c r="AR104" s="123">
        <f t="shared" si="70"/>
        <v>8.894334104176442E-2</v>
      </c>
      <c r="AS104" s="1002"/>
      <c r="AT104" s="446">
        <v>8.894334104176442E-2</v>
      </c>
      <c r="AU104" s="132">
        <f t="shared" si="71"/>
        <v>0.78822973337788826</v>
      </c>
      <c r="AV104" s="17"/>
      <c r="AW104" s="125">
        <f t="shared" si="72"/>
        <v>-1.0016404215317465E-2</v>
      </c>
      <c r="AX104" s="16"/>
      <c r="AY104" s="26"/>
    </row>
    <row r="105" spans="1:51">
      <c r="A105" s="5">
        <v>24.624625903379638</v>
      </c>
      <c r="B105" s="512">
        <v>11.716381262755226</v>
      </c>
      <c r="C105" s="125">
        <v>11.671730041503906</v>
      </c>
      <c r="D105" s="124">
        <f t="shared" si="76"/>
        <v>2.4385602009892258E-12</v>
      </c>
      <c r="E105" s="124">
        <f t="shared" si="73"/>
        <v>0.16594882740251107</v>
      </c>
      <c r="F105" s="125">
        <f t="shared" si="33"/>
        <v>-4.4651221251319484E-2</v>
      </c>
      <c r="G105" s="123">
        <f t="shared" si="34"/>
        <v>4.4296380291015873E-7</v>
      </c>
      <c r="H105" s="123">
        <f t="shared" si="77"/>
        <v>6.6555525909586105E-4</v>
      </c>
      <c r="I105" s="124">
        <f t="shared" si="78"/>
        <v>4.9331108951097137E-2</v>
      </c>
      <c r="J105" s="124">
        <f t="shared" si="79"/>
        <v>4.8665553692001276E-2</v>
      </c>
      <c r="K105" s="125">
        <f t="shared" si="80"/>
        <v>0.55181697112030459</v>
      </c>
      <c r="L105" s="125">
        <f t="shared" si="81"/>
        <v>0.44818302887969541</v>
      </c>
      <c r="M105" s="123">
        <f t="shared" si="82"/>
        <v>1.0000014522622196</v>
      </c>
      <c r="N105" s="123">
        <f t="shared" si="83"/>
        <v>1.0090803793671708</v>
      </c>
      <c r="O105" s="123">
        <f t="shared" si="84"/>
        <v>1.5795281185420738</v>
      </c>
      <c r="P105" s="123">
        <f t="shared" si="85"/>
        <v>1.0000000865175063</v>
      </c>
      <c r="Q105" s="123">
        <f t="shared" si="86"/>
        <v>1.0042769431890823</v>
      </c>
      <c r="R105" s="123">
        <f t="shared" si="87"/>
        <v>1.0200482275559373</v>
      </c>
      <c r="S105" s="123">
        <f t="shared" si="88"/>
        <v>1</v>
      </c>
      <c r="T105" s="123">
        <f t="shared" si="89"/>
        <v>1</v>
      </c>
      <c r="U105" s="123">
        <f t="shared" si="90"/>
        <v>8416.9664004979095</v>
      </c>
      <c r="V105" s="123">
        <f t="shared" si="91"/>
        <v>1.0200482275559373</v>
      </c>
      <c r="W105" s="19">
        <f t="shared" si="92"/>
        <v>1.4522601890958602E-6</v>
      </c>
      <c r="X105" s="19">
        <f t="shared" si="93"/>
        <v>8.9986680524129191E-3</v>
      </c>
      <c r="Y105" s="19">
        <f t="shared" si="94"/>
        <v>0.36689953333803971</v>
      </c>
      <c r="Z105" s="19">
        <f t="shared" si="95"/>
        <v>8.6517498756688333E-8</v>
      </c>
      <c r="AA105" s="19">
        <f t="shared" si="96"/>
        <v>4.2587288477428263E-3</v>
      </c>
      <c r="AB105" s="19">
        <f t="shared" si="97"/>
        <v>1.9654262687062499E-2</v>
      </c>
      <c r="AC105" s="19">
        <f t="shared" si="98"/>
        <v>1.5139237180556897E-19</v>
      </c>
      <c r="AD105" s="19">
        <f t="shared" si="99"/>
        <v>1.5139237180556897E-19</v>
      </c>
      <c r="AE105" s="19">
        <f t="shared" si="100"/>
        <v>0.99988119234978279</v>
      </c>
      <c r="AF105" s="19">
        <f t="shared" si="101"/>
        <v>1.9654262687062499E-2</v>
      </c>
      <c r="AG105" s="123">
        <f t="shared" si="102"/>
        <v>5.0394298271991253E-2</v>
      </c>
      <c r="AH105" s="123">
        <f t="shared" si="103"/>
        <v>7.7934552435673073E-3</v>
      </c>
      <c r="AI105" s="123" t="str">
        <f t="shared" si="104"/>
        <v/>
      </c>
      <c r="AJ105" s="123" t="str">
        <f t="shared" si="105"/>
        <v/>
      </c>
      <c r="AK105" s="123" t="str">
        <f t="shared" si="106"/>
        <v/>
      </c>
      <c r="AL105" s="123" t="str">
        <f t="shared" si="107"/>
        <v/>
      </c>
      <c r="AM105" s="123" t="str">
        <f t="shared" si="108"/>
        <v/>
      </c>
      <c r="AN105" s="123" t="str">
        <f t="shared" si="109"/>
        <v/>
      </c>
      <c r="AO105" s="123">
        <f t="shared" si="110"/>
        <v>3.2780038844378757E-6</v>
      </c>
      <c r="AP105" s="123" t="str">
        <f t="shared" si="111"/>
        <v/>
      </c>
      <c r="AQ105" s="131">
        <f t="shared" si="69"/>
        <v>8.9418497797217639E-2</v>
      </c>
      <c r="AR105" s="123">
        <f t="shared" si="70"/>
        <v>8.9418497797217639E-2</v>
      </c>
      <c r="AS105" s="1002"/>
      <c r="AT105" s="446">
        <v>8.9418497797217639E-2</v>
      </c>
      <c r="AU105" s="132">
        <f t="shared" si="71"/>
        <v>0.78792568093756787</v>
      </c>
      <c r="AV105" s="17"/>
      <c r="AW105" s="125">
        <f t="shared" si="72"/>
        <v>-4.4651221251319484E-2</v>
      </c>
      <c r="AX105" s="16"/>
      <c r="AY105" s="26"/>
    </row>
    <row r="106" spans="1:51">
      <c r="A106" s="5">
        <v>25.730517484771553</v>
      </c>
      <c r="B106" s="512">
        <v>11.841987918362173</v>
      </c>
      <c r="C106" s="125">
        <v>11.808845520019531</v>
      </c>
      <c r="D106" s="124">
        <f t="shared" si="76"/>
        <v>1.8264963516569868E-12</v>
      </c>
      <c r="E106" s="124">
        <f t="shared" si="73"/>
        <v>8.3911350979676058E-2</v>
      </c>
      <c r="F106" s="125">
        <f t="shared" ref="F106:F111" si="112">IF(A106="","",IF(C106="","0,00001",(IF(ABS(C106-B106)&lt;0.00001,0.00001,C106-B106))))</f>
        <v>-3.314239834264221E-2</v>
      </c>
      <c r="G106" s="123">
        <f t="shared" ref="G106:G111" si="113">IF(A106="","",IF(AX106="X",0,IF(ABS(E106)&lt;0.00001,(0.00001^M$20)*(ABS(H106)^I$20)*ABS(F106)^K$20,((ABS(E106))^M$20)*((ABS(H106))^I$20)*ABS(F106)^K$20)))</f>
        <v>4.377286723920323E-7</v>
      </c>
      <c r="H106" s="123">
        <f t="shared" si="77"/>
        <v>6.6161066526472523E-4</v>
      </c>
      <c r="I106" s="124">
        <f t="shared" si="78"/>
        <v>4.8138145016063762E-2</v>
      </c>
      <c r="J106" s="124">
        <f t="shared" si="79"/>
        <v>4.7476534350799036E-2</v>
      </c>
      <c r="K106" s="125">
        <f t="shared" si="80"/>
        <v>0.56265528797787867</v>
      </c>
      <c r="L106" s="125">
        <f t="shared" si="81"/>
        <v>0.43734471202212133</v>
      </c>
      <c r="M106" s="123">
        <f t="shared" si="82"/>
        <v>1.0000010863717459</v>
      </c>
      <c r="N106" s="123">
        <f t="shared" si="83"/>
        <v>1.0067983787207924</v>
      </c>
      <c r="O106" s="123">
        <f t="shared" si="84"/>
        <v>1.4337024800111033</v>
      </c>
      <c r="P106" s="123">
        <f t="shared" si="85"/>
        <v>1.0000000647746916</v>
      </c>
      <c r="Q106" s="123">
        <f t="shared" si="86"/>
        <v>1.0032034563378562</v>
      </c>
      <c r="R106" s="123">
        <f t="shared" si="87"/>
        <v>1.0150035146425676</v>
      </c>
      <c r="S106" s="123">
        <f t="shared" si="88"/>
        <v>1</v>
      </c>
      <c r="T106" s="123">
        <f t="shared" si="89"/>
        <v>1</v>
      </c>
      <c r="U106" s="123">
        <f t="shared" si="90"/>
        <v>6301.9401464815846</v>
      </c>
      <c r="V106" s="123">
        <f t="shared" si="91"/>
        <v>1.0150035146425676</v>
      </c>
      <c r="W106" s="19">
        <f t="shared" si="92"/>
        <v>1.0863706099299311E-6</v>
      </c>
      <c r="X106" s="19">
        <f t="shared" si="93"/>
        <v>6.7524728557968421E-3</v>
      </c>
      <c r="Y106" s="19">
        <f t="shared" si="94"/>
        <v>0.30250522144344311</v>
      </c>
      <c r="Z106" s="19">
        <f t="shared" si="95"/>
        <v>6.477468744526448E-8</v>
      </c>
      <c r="AA106" s="19">
        <f t="shared" si="96"/>
        <v>3.1932269746660939E-3</v>
      </c>
      <c r="AB106" s="19">
        <f t="shared" si="97"/>
        <v>1.4781774322072451E-2</v>
      </c>
      <c r="AC106" s="19">
        <f t="shared" si="98"/>
        <v>1.13345779674731E-19</v>
      </c>
      <c r="AD106" s="19">
        <f t="shared" si="99"/>
        <v>1.13345779674731E-19</v>
      </c>
      <c r="AE106" s="19">
        <f t="shared" si="100"/>
        <v>0.99984131870872206</v>
      </c>
      <c r="AF106" s="19">
        <f t="shared" si="101"/>
        <v>1.4781774322072451E-2</v>
      </c>
      <c r="AG106" s="123">
        <f t="shared" si="102"/>
        <v>4.9175633447044148E-2</v>
      </c>
      <c r="AH106" s="123">
        <f t="shared" si="103"/>
        <v>7.6222251388653453E-3</v>
      </c>
      <c r="AI106" s="123" t="str">
        <f t="shared" si="104"/>
        <v/>
      </c>
      <c r="AJ106" s="123" t="str">
        <f t="shared" si="105"/>
        <v/>
      </c>
      <c r="AK106" s="123" t="str">
        <f t="shared" si="106"/>
        <v/>
      </c>
      <c r="AL106" s="123" t="str">
        <f t="shared" si="107"/>
        <v/>
      </c>
      <c r="AM106" s="123" t="str">
        <f t="shared" si="108"/>
        <v/>
      </c>
      <c r="AN106" s="123" t="str">
        <f t="shared" si="109"/>
        <v/>
      </c>
      <c r="AO106" s="123">
        <f t="shared" si="110"/>
        <v>4.4641433820346023E-6</v>
      </c>
      <c r="AP106" s="123" t="str">
        <f t="shared" si="111"/>
        <v/>
      </c>
      <c r="AQ106" s="131">
        <f t="shared" ref="AQ106:AQ111" si="114">IF(A106="","",SUM(AG106:AP106)+0.5*(D106+ $AC$9/AU106^2/D106)+$L106*$S$16+$K106*$T$16)</f>
        <v>8.9680471253884675E-2</v>
      </c>
      <c r="AR106" s="123">
        <f t="shared" ref="AR106:AR111" si="115">IF(A106="","",AQ106+$L106*S$14+$K106*$T$14)</f>
        <v>8.9680471253884675E-2</v>
      </c>
      <c r="AS106" s="1002"/>
      <c r="AT106" s="446">
        <v>8.9680471253884675E-2</v>
      </c>
      <c r="AU106" s="132">
        <f t="shared" ref="AU106:AU111" si="116">IF(A106="","",10^(-$P$16*($AT106^0.5/(1+$AT106^0.5)-$P$17*$AT106)))</f>
        <v>0.78775881673331516</v>
      </c>
      <c r="AV106" s="17"/>
      <c r="AW106" s="125">
        <f t="shared" ref="AW106:AW111" si="117">IF(C106="","",C106-B106)</f>
        <v>-3.314239834264221E-2</v>
      </c>
      <c r="AX106" s="16"/>
      <c r="AY106" s="26"/>
    </row>
    <row r="107" spans="1:51">
      <c r="A107" s="5">
        <v>27.32318145717727</v>
      </c>
      <c r="B107" s="512">
        <v>11.928379050320729</v>
      </c>
      <c r="C107" s="125">
        <v>11.946022033691406</v>
      </c>
      <c r="D107" s="124">
        <f t="shared" si="76"/>
        <v>1.4967795465688095E-12</v>
      </c>
      <c r="E107" s="124">
        <f>IF(A107="","",IF(A108="",(B107-B106)/(A107-A106),((B108-B107)/(A108-A107)+(B107-B106)/(A107-A106))/2))</f>
        <v>5.2419871386658483E-2</v>
      </c>
      <c r="F107" s="125">
        <f t="shared" si="112"/>
        <v>1.7642983370677712E-2</v>
      </c>
      <c r="G107" s="123">
        <f t="shared" si="113"/>
        <v>2.054086507527953E-7</v>
      </c>
      <c r="H107" s="123">
        <f t="shared" si="77"/>
        <v>-4.5322031149629127E-4</v>
      </c>
      <c r="I107" s="124">
        <f t="shared" si="78"/>
        <v>4.6518053405466886E-2</v>
      </c>
      <c r="J107" s="124">
        <f t="shared" si="79"/>
        <v>4.6971273716963177E-2</v>
      </c>
      <c r="K107" s="125">
        <f t="shared" si="80"/>
        <v>0.57737414552109112</v>
      </c>
      <c r="L107" s="125">
        <f t="shared" si="81"/>
        <v>0.42262585447890888</v>
      </c>
      <c r="M107" s="123">
        <f t="shared" si="82"/>
        <v>1.0000008911206608</v>
      </c>
      <c r="N107" s="123">
        <f t="shared" si="83"/>
        <v>1.0055729360509729</v>
      </c>
      <c r="O107" s="123">
        <f t="shared" si="84"/>
        <v>1.3556397399816458</v>
      </c>
      <c r="P107" s="123">
        <f t="shared" si="85"/>
        <v>1.000000053098721</v>
      </c>
      <c r="Q107" s="123">
        <f t="shared" si="86"/>
        <v>1.0026251724622826</v>
      </c>
      <c r="R107" s="123">
        <f t="shared" si="87"/>
        <v>1.0123030046035801</v>
      </c>
      <c r="S107" s="123">
        <f t="shared" si="88"/>
        <v>1</v>
      </c>
      <c r="T107" s="123">
        <f t="shared" si="89"/>
        <v>1</v>
      </c>
      <c r="U107" s="123">
        <f t="shared" si="90"/>
        <v>5166.1633340967055</v>
      </c>
      <c r="V107" s="123">
        <f t="shared" si="91"/>
        <v>1.0123030046035801</v>
      </c>
      <c r="W107" s="19">
        <f t="shared" si="92"/>
        <v>8.9111989626392498E-7</v>
      </c>
      <c r="X107" s="19">
        <f t="shared" si="93"/>
        <v>5.5420505594809604E-3</v>
      </c>
      <c r="Y107" s="19">
        <f t="shared" si="94"/>
        <v>0.26234089607499295</v>
      </c>
      <c r="Z107" s="19">
        <f t="shared" si="95"/>
        <v>5.3098718079892956E-8</v>
      </c>
      <c r="AA107" s="19">
        <f t="shared" si="96"/>
        <v>2.6182989759129978E-3</v>
      </c>
      <c r="AB107" s="19">
        <f t="shared" si="97"/>
        <v>1.2153505676830479E-2</v>
      </c>
      <c r="AC107" s="19">
        <f t="shared" si="98"/>
        <v>9.2914620935962384E-20</v>
      </c>
      <c r="AD107" s="19">
        <f t="shared" si="99"/>
        <v>9.2914620935962384E-20</v>
      </c>
      <c r="AE107" s="19">
        <f t="shared" si="100"/>
        <v>0.99980643275573577</v>
      </c>
      <c r="AF107" s="19">
        <f t="shared" si="101"/>
        <v>1.2153505676830479E-2</v>
      </c>
      <c r="AG107" s="123">
        <f t="shared" si="102"/>
        <v>4.7520630267558067E-2</v>
      </c>
      <c r="AH107" s="123">
        <f t="shared" si="103"/>
        <v>7.3746749989725665E-3</v>
      </c>
      <c r="AI107" s="123" t="str">
        <f t="shared" si="104"/>
        <v/>
      </c>
      <c r="AJ107" s="123" t="str">
        <f t="shared" si="105"/>
        <v/>
      </c>
      <c r="AK107" s="123" t="str">
        <f t="shared" si="106"/>
        <v/>
      </c>
      <c r="AL107" s="123" t="str">
        <f t="shared" si="107"/>
        <v/>
      </c>
      <c r="AM107" s="123" t="str">
        <f t="shared" si="108"/>
        <v/>
      </c>
      <c r="AN107" s="123" t="str">
        <f t="shared" si="109"/>
        <v/>
      </c>
      <c r="AO107" s="123">
        <f t="shared" si="110"/>
        <v>5.5880361128965736E-6</v>
      </c>
      <c r="AP107" s="123" t="str">
        <f t="shared" si="111"/>
        <v/>
      </c>
      <c r="AQ107" s="131">
        <f t="shared" si="114"/>
        <v>8.9481497401448618E-2</v>
      </c>
      <c r="AR107" s="123">
        <f t="shared" si="115"/>
        <v>8.9481497401448618E-2</v>
      </c>
      <c r="AS107" s="1002"/>
      <c r="AT107" s="446">
        <v>8.9481497401448618E-2</v>
      </c>
      <c r="AU107" s="132">
        <f t="shared" si="116"/>
        <v>0.78788550332173413</v>
      </c>
      <c r="AV107" s="17"/>
      <c r="AW107" s="125">
        <f t="shared" si="117"/>
        <v>1.7642983370677712E-2</v>
      </c>
      <c r="AX107" s="16"/>
      <c r="AY107" s="26"/>
    </row>
    <row r="108" spans="1:51">
      <c r="A108" s="5">
        <v>29.683852127345745</v>
      </c>
      <c r="B108" s="512">
        <v>12.047820911462628</v>
      </c>
      <c r="C108" s="125">
        <v>12.083091735839844</v>
      </c>
      <c r="D108" s="124">
        <f t="shared" si="76"/>
        <v>1.1369839017042605E-12</v>
      </c>
      <c r="E108" s="124">
        <f>IF(A108="","",IF(A109="",(B108-B107)/(A108-A107),((B109-B108)/(A109-A108)+(B108-B107)/(A108-A107))/2))</f>
        <v>4.9922325274648377E-2</v>
      </c>
      <c r="F108" s="125">
        <f t="shared" si="112"/>
        <v>3.5270824377215959E-2</v>
      </c>
      <c r="G108" s="123">
        <f t="shared" si="113"/>
        <v>1.4711417972456981E-6</v>
      </c>
      <c r="H108" s="123">
        <f t="shared" si="77"/>
        <v>-1.2129063431467815E-3</v>
      </c>
      <c r="I108" s="124">
        <f t="shared" si="78"/>
        <v>4.430780199367719E-2</v>
      </c>
      <c r="J108" s="124">
        <f t="shared" si="79"/>
        <v>4.5520708336823971E-2</v>
      </c>
      <c r="K108" s="125">
        <f t="shared" si="80"/>
        <v>0.59745472334275584</v>
      </c>
      <c r="L108" s="125">
        <f t="shared" si="81"/>
        <v>0.40254527665724416</v>
      </c>
      <c r="M108" s="123">
        <f t="shared" si="82"/>
        <v>1.0000006765547755</v>
      </c>
      <c r="N108" s="123">
        <f t="shared" si="83"/>
        <v>1.0042325671946351</v>
      </c>
      <c r="O108" s="123">
        <f t="shared" si="84"/>
        <v>1.27005573903917</v>
      </c>
      <c r="P108" s="123">
        <f t="shared" si="85"/>
        <v>1.0000000403277378</v>
      </c>
      <c r="Q108" s="123">
        <f t="shared" si="86"/>
        <v>1.0019941338961071</v>
      </c>
      <c r="R108" s="123">
        <f t="shared" si="87"/>
        <v>1.0093423061782985</v>
      </c>
      <c r="S108" s="123">
        <f t="shared" si="88"/>
        <v>1</v>
      </c>
      <c r="T108" s="123">
        <f t="shared" si="89"/>
        <v>1</v>
      </c>
      <c r="U108" s="123">
        <f t="shared" si="90"/>
        <v>3923.8695044462124</v>
      </c>
      <c r="V108" s="123">
        <f t="shared" si="91"/>
        <v>1.0093423061782985</v>
      </c>
      <c r="W108" s="19">
        <f t="shared" si="92"/>
        <v>6.7655433492609654E-7</v>
      </c>
      <c r="X108" s="19">
        <f t="shared" si="93"/>
        <v>4.2147280759238627E-3</v>
      </c>
      <c r="Y108" s="19">
        <f t="shared" si="94"/>
        <v>0.21263298384260165</v>
      </c>
      <c r="Z108" s="19">
        <f t="shared" si="95"/>
        <v>4.0327736233613981E-8</v>
      </c>
      <c r="AA108" s="19">
        <f t="shared" si="96"/>
        <v>1.9901652401428487E-3</v>
      </c>
      <c r="AB108" s="19">
        <f t="shared" si="97"/>
        <v>9.2558500206013708E-3</v>
      </c>
      <c r="AC108" s="19">
        <f t="shared" si="98"/>
        <v>7.056735855393996E-20</v>
      </c>
      <c r="AD108" s="19">
        <f t="shared" si="99"/>
        <v>7.056735855393996E-20</v>
      </c>
      <c r="AE108" s="19">
        <f t="shared" si="100"/>
        <v>0.99974514952679572</v>
      </c>
      <c r="AF108" s="19">
        <f t="shared" si="101"/>
        <v>9.2558500206013708E-3</v>
      </c>
      <c r="AG108" s="123">
        <f t="shared" si="102"/>
        <v>4.5262747973211989E-2</v>
      </c>
      <c r="AH108" s="123">
        <f t="shared" si="103"/>
        <v>7.0336512991109141E-3</v>
      </c>
      <c r="AI108" s="123" t="str">
        <f t="shared" si="104"/>
        <v/>
      </c>
      <c r="AJ108" s="123" t="str">
        <f t="shared" si="105"/>
        <v/>
      </c>
      <c r="AK108" s="123" t="str">
        <f t="shared" si="106"/>
        <v/>
      </c>
      <c r="AL108" s="123" t="str">
        <f t="shared" si="107"/>
        <v/>
      </c>
      <c r="AM108" s="123" t="str">
        <f t="shared" si="108"/>
        <v/>
      </c>
      <c r="AN108" s="123" t="str">
        <f t="shared" si="109"/>
        <v/>
      </c>
      <c r="AO108" s="123">
        <f t="shared" si="110"/>
        <v>7.6130809481019742E-6</v>
      </c>
      <c r="AP108" s="123" t="str">
        <f t="shared" si="111"/>
        <v/>
      </c>
      <c r="AQ108" s="131">
        <f t="shared" si="114"/>
        <v>8.9590666048802933E-2</v>
      </c>
      <c r="AR108" s="123">
        <f t="shared" si="115"/>
        <v>8.9590666048802933E-2</v>
      </c>
      <c r="AS108" s="1002"/>
      <c r="AT108" s="446">
        <v>8.9590666048802933E-2</v>
      </c>
      <c r="AU108" s="132">
        <f t="shared" si="116"/>
        <v>0.78781595664202764</v>
      </c>
      <c r="AV108" s="17"/>
      <c r="AW108" s="125">
        <f t="shared" si="117"/>
        <v>3.5270824377215959E-2</v>
      </c>
      <c r="AX108" s="16"/>
      <c r="AY108" s="26"/>
    </row>
    <row r="109" spans="1:51">
      <c r="A109" s="5">
        <v>33.322947287524585</v>
      </c>
      <c r="B109" s="512">
        <v>12.227039328612095</v>
      </c>
      <c r="C109" s="125">
        <v>12.219718933105469</v>
      </c>
      <c r="D109" s="124">
        <f t="shared" si="76"/>
        <v>7.5342970692370739E-13</v>
      </c>
      <c r="E109" s="124">
        <f>IF(A109="","",IF(A110="",(B109-B108)/(A109-A108),((B110-B109)/(A110-A109)+(B109-B108)/(A109-A108))/2))</f>
        <v>3.4173523934599687E-2</v>
      </c>
      <c r="F109" s="125">
        <f t="shared" si="112"/>
        <v>-7.3203955066265536E-3</v>
      </c>
      <c r="G109" s="123">
        <f t="shared" si="113"/>
        <v>1.3111030169136065E-7</v>
      </c>
      <c r="H109" s="123">
        <f t="shared" si="77"/>
        <v>3.6209156534136588E-4</v>
      </c>
      <c r="I109" s="124">
        <f t="shared" si="78"/>
        <v>4.1283957364011026E-2</v>
      </c>
      <c r="J109" s="124">
        <f t="shared" si="79"/>
        <v>4.092186579866966E-2</v>
      </c>
      <c r="K109" s="125">
        <f t="shared" si="80"/>
        <v>0.62492695889150163</v>
      </c>
      <c r="L109" s="125">
        <f t="shared" si="81"/>
        <v>0.37507304110849837</v>
      </c>
      <c r="M109" s="123">
        <f t="shared" si="82"/>
        <v>1.000000445195059</v>
      </c>
      <c r="N109" s="123">
        <f t="shared" si="83"/>
        <v>1.002798199037563</v>
      </c>
      <c r="O109" s="123">
        <f t="shared" si="84"/>
        <v>1.1781207307557473</v>
      </c>
      <c r="P109" s="123">
        <f t="shared" si="85"/>
        <v>1.0000000266611331</v>
      </c>
      <c r="Q109" s="123">
        <f t="shared" si="86"/>
        <v>1.0013214256724818</v>
      </c>
      <c r="R109" s="123">
        <f t="shared" si="87"/>
        <v>1.0061619039067327</v>
      </c>
      <c r="S109" s="123">
        <f t="shared" si="88"/>
        <v>1</v>
      </c>
      <c r="T109" s="123">
        <f t="shared" si="89"/>
        <v>1</v>
      </c>
      <c r="U109" s="123">
        <f t="shared" si="90"/>
        <v>2594.4543193271729</v>
      </c>
      <c r="V109" s="123">
        <f t="shared" si="91"/>
        <v>1.0061619039067327</v>
      </c>
      <c r="W109" s="19">
        <f t="shared" si="92"/>
        <v>4.4519486826625428E-7</v>
      </c>
      <c r="X109" s="19">
        <f t="shared" si="93"/>
        <v>2.790390968711743E-3</v>
      </c>
      <c r="Y109" s="19">
        <f t="shared" si="94"/>
        <v>0.15119055895708869</v>
      </c>
      <c r="Z109" s="19">
        <f t="shared" si="95"/>
        <v>2.6661132376332383E-8</v>
      </c>
      <c r="AA109" s="19">
        <f t="shared" si="96"/>
        <v>1.3196818110572045E-3</v>
      </c>
      <c r="AB109" s="19">
        <f t="shared" si="97"/>
        <v>6.1241738016242601E-3</v>
      </c>
      <c r="AC109" s="19">
        <f t="shared" si="98"/>
        <v>4.6652895447527924E-20</v>
      </c>
      <c r="AD109" s="19">
        <f t="shared" si="99"/>
        <v>4.6652895447527924E-20</v>
      </c>
      <c r="AE109" s="19">
        <f t="shared" si="100"/>
        <v>0.9996145624948759</v>
      </c>
      <c r="AF109" s="19">
        <f t="shared" si="101"/>
        <v>6.1241738016242601E-3</v>
      </c>
      <c r="AG109" s="123">
        <f t="shared" si="102"/>
        <v>4.2173737211132593E-2</v>
      </c>
      <c r="AH109" s="123">
        <f t="shared" si="103"/>
        <v>6.5630045388831047E-3</v>
      </c>
      <c r="AI109" s="123" t="str">
        <f t="shared" si="104"/>
        <v/>
      </c>
      <c r="AJ109" s="123" t="str">
        <f t="shared" si="105"/>
        <v/>
      </c>
      <c r="AK109" s="123" t="str">
        <f t="shared" si="106"/>
        <v/>
      </c>
      <c r="AL109" s="123" t="str">
        <f t="shared" si="107"/>
        <v/>
      </c>
      <c r="AM109" s="123" t="str">
        <f t="shared" si="108"/>
        <v/>
      </c>
      <c r="AN109" s="123" t="str">
        <f t="shared" si="109"/>
        <v/>
      </c>
      <c r="AO109" s="123">
        <f t="shared" si="110"/>
        <v>1.2043514395997646E-5</v>
      </c>
      <c r="AP109" s="123" t="str">
        <f t="shared" si="111"/>
        <v/>
      </c>
      <c r="AQ109" s="131">
        <f t="shared" si="114"/>
        <v>9.1047179924031024E-2</v>
      </c>
      <c r="AR109" s="123">
        <f t="shared" si="115"/>
        <v>9.1047179924031024E-2</v>
      </c>
      <c r="AS109" s="1002"/>
      <c r="AT109" s="446">
        <v>9.1047179924031024E-2</v>
      </c>
      <c r="AU109" s="132">
        <f t="shared" si="116"/>
        <v>0.78689707578829737</v>
      </c>
      <c r="AV109" s="17"/>
      <c r="AW109" s="125">
        <f t="shared" si="117"/>
        <v>-7.3203955066265536E-3</v>
      </c>
      <c r="AX109" s="16"/>
      <c r="AY109" s="26"/>
    </row>
    <row r="110" spans="1:51">
      <c r="A110" s="5">
        <v>39.274074586865027</v>
      </c>
      <c r="B110" s="512">
        <v>12.340699770716011</v>
      </c>
      <c r="C110" s="125">
        <v>12.356880187988281</v>
      </c>
      <c r="D110" s="124">
        <f t="shared" si="76"/>
        <v>5.8003219801541989E-13</v>
      </c>
      <c r="E110" s="124">
        <f>IF(A110="","",IF(A111="",(B110-B109)/(A110-A109),((B111-B110)/(A111-A110)+(B110-B109)/(A110-A109))/2))</f>
        <v>1.7176237787837535E-2</v>
      </c>
      <c r="F110" s="125">
        <f t="shared" si="112"/>
        <v>1.6180417272270375E-2</v>
      </c>
      <c r="G110" s="123">
        <f t="shared" si="113"/>
        <v>1.1382939126705618E-6</v>
      </c>
      <c r="H110" s="123">
        <f t="shared" si="77"/>
        <v>-1.0669085774660178E-3</v>
      </c>
      <c r="I110" s="124">
        <f t="shared" si="78"/>
        <v>3.7139040932903787E-2</v>
      </c>
      <c r="J110" s="124">
        <f t="shared" si="79"/>
        <v>3.8205949510369805E-2</v>
      </c>
      <c r="K110" s="125">
        <f t="shared" si="80"/>
        <v>0.66258435683056716</v>
      </c>
      <c r="L110" s="125">
        <f t="shared" si="81"/>
        <v>0.3374156431694329</v>
      </c>
      <c r="M110" s="123">
        <f t="shared" si="82"/>
        <v>1.000000342405609</v>
      </c>
      <c r="N110" s="123">
        <f t="shared" si="83"/>
        <v>1.0021535172574765</v>
      </c>
      <c r="O110" s="123">
        <f t="shared" si="84"/>
        <v>1.1370391361707208</v>
      </c>
      <c r="P110" s="123">
        <f t="shared" si="85"/>
        <v>1.0000000205186299</v>
      </c>
      <c r="Q110" s="123">
        <f t="shared" si="86"/>
        <v>1.0010173071625397</v>
      </c>
      <c r="R110" s="123">
        <f t="shared" si="87"/>
        <v>1.00474072715723</v>
      </c>
      <c r="S110" s="123">
        <f t="shared" si="88"/>
        <v>1</v>
      </c>
      <c r="T110" s="123">
        <f t="shared" si="89"/>
        <v>1</v>
      </c>
      <c r="U110" s="123">
        <f t="shared" si="90"/>
        <v>1996.9440191322283</v>
      </c>
      <c r="V110" s="123">
        <f t="shared" si="91"/>
        <v>1.00474072715723</v>
      </c>
      <c r="W110" s="19">
        <f t="shared" si="92"/>
        <v>3.4240549596235042E-7</v>
      </c>
      <c r="X110" s="19">
        <f t="shared" si="93"/>
        <v>2.148889586946342E-3</v>
      </c>
      <c r="Y110" s="19">
        <f t="shared" si="94"/>
        <v>0.12052279682445012</v>
      </c>
      <c r="Z110" s="19">
        <f t="shared" si="95"/>
        <v>2.0518629397145755E-8</v>
      </c>
      <c r="AA110" s="19">
        <f t="shared" si="96"/>
        <v>1.0162733004320369E-3</v>
      </c>
      <c r="AB110" s="19">
        <f t="shared" si="97"/>
        <v>4.7183625160974515E-3</v>
      </c>
      <c r="AC110" s="19">
        <f t="shared" si="98"/>
        <v>3.5904456442422309E-20</v>
      </c>
      <c r="AD110" s="19">
        <f t="shared" si="99"/>
        <v>3.5904456442422309E-20</v>
      </c>
      <c r="AE110" s="19">
        <f t="shared" si="100"/>
        <v>0.9994992348356192</v>
      </c>
      <c r="AF110" s="19">
        <f t="shared" si="101"/>
        <v>4.7183625160974515E-3</v>
      </c>
      <c r="AG110" s="123">
        <f t="shared" si="102"/>
        <v>3.7939488896639603E-2</v>
      </c>
      <c r="AH110" s="123">
        <f t="shared" si="103"/>
        <v>5.9078758247467847E-3</v>
      </c>
      <c r="AI110" s="123" t="str">
        <f t="shared" si="104"/>
        <v/>
      </c>
      <c r="AJ110" s="123" t="str">
        <f t="shared" si="105"/>
        <v/>
      </c>
      <c r="AK110" s="123" t="str">
        <f t="shared" si="106"/>
        <v/>
      </c>
      <c r="AL110" s="123" t="str">
        <f t="shared" si="107"/>
        <v/>
      </c>
      <c r="AM110" s="123" t="str">
        <f t="shared" si="108"/>
        <v/>
      </c>
      <c r="AN110" s="123" t="str">
        <f t="shared" si="109"/>
        <v/>
      </c>
      <c r="AO110" s="123">
        <f t="shared" si="110"/>
        <v>1.6589958218220184E-5</v>
      </c>
      <c r="AP110" s="123" t="str">
        <f t="shared" si="111"/>
        <v/>
      </c>
      <c r="AQ110" s="131">
        <f t="shared" si="114"/>
        <v>9.1249723295354912E-2</v>
      </c>
      <c r="AR110" s="123">
        <f t="shared" si="115"/>
        <v>9.1249723295354912E-2</v>
      </c>
      <c r="AS110" s="1002"/>
      <c r="AT110" s="446">
        <v>9.1249723295354912E-2</v>
      </c>
      <c r="AU110" s="132">
        <f t="shared" si="116"/>
        <v>0.78677060758372952</v>
      </c>
      <c r="AV110" s="17"/>
      <c r="AW110" s="125">
        <f t="shared" si="117"/>
        <v>1.6180417272270375E-2</v>
      </c>
      <c r="AX110" s="16"/>
      <c r="AY110" s="26"/>
    </row>
    <row r="111" spans="1:51">
      <c r="A111" s="5">
        <v>49.999999995634425</v>
      </c>
      <c r="B111" s="512">
        <v>12.504307661022999</v>
      </c>
      <c r="C111" s="125">
        <v>12.493522644042969</v>
      </c>
      <c r="D111" s="124">
        <f t="shared" si="76"/>
        <v>3.9867959600712234E-13</v>
      </c>
      <c r="E111" s="124">
        <f>IF(A111="","",IF(A112="",(B111-B110)/(A111-A110),((B112-B111)/(A112-A111)+(B111-B110)/(A111-A110))/2))</f>
        <v>1.5253498795845061E-2</v>
      </c>
      <c r="F111" s="125">
        <f t="shared" si="112"/>
        <v>-1.0785016980030093E-2</v>
      </c>
      <c r="G111" s="123">
        <f t="shared" si="113"/>
        <v>1.0116721345957123E-6</v>
      </c>
      <c r="H111" s="123">
        <f t="shared" si="77"/>
        <v>1.0058191361252342E-3</v>
      </c>
      <c r="I111" s="124">
        <f t="shared" si="78"/>
        <v>3.1448318321126607E-2</v>
      </c>
      <c r="J111" s="124">
        <f t="shared" si="79"/>
        <v>3.0442499185001373E-2</v>
      </c>
      <c r="K111" s="125">
        <f t="shared" si="80"/>
        <v>0.71428571426789567</v>
      </c>
      <c r="L111" s="125">
        <f t="shared" si="81"/>
        <v>0.28571428573210439</v>
      </c>
      <c r="M111" s="123">
        <f t="shared" si="82"/>
        <v>1.0000002328273472</v>
      </c>
      <c r="N111" s="123">
        <f t="shared" si="83"/>
        <v>1.0014748935232216</v>
      </c>
      <c r="O111" s="123">
        <f t="shared" si="84"/>
        <v>1.093518456165596</v>
      </c>
      <c r="P111" s="123">
        <f t="shared" si="85"/>
        <v>1.000000014052729</v>
      </c>
      <c r="Q111" s="123">
        <f t="shared" si="86"/>
        <v>1.000699236369919</v>
      </c>
      <c r="R111" s="123">
        <f t="shared" si="87"/>
        <v>1.0032351734332998</v>
      </c>
      <c r="S111" s="123">
        <f t="shared" si="88"/>
        <v>1</v>
      </c>
      <c r="T111" s="123">
        <f t="shared" si="89"/>
        <v>1</v>
      </c>
      <c r="U111" s="123">
        <f t="shared" si="90"/>
        <v>1367.9753035087101</v>
      </c>
      <c r="V111" s="123">
        <f t="shared" si="91"/>
        <v>1.0032351734332998</v>
      </c>
      <c r="W111" s="19">
        <f t="shared" si="92"/>
        <v>2.3282729515140691E-7</v>
      </c>
      <c r="X111" s="19">
        <f t="shared" si="93"/>
        <v>1.4727214160750561E-3</v>
      </c>
      <c r="Y111" s="19">
        <f t="shared" si="94"/>
        <v>8.552069325196697E-2</v>
      </c>
      <c r="Z111" s="19">
        <f t="shared" si="95"/>
        <v>1.4052728713954202E-8</v>
      </c>
      <c r="AA111" s="19">
        <f t="shared" si="96"/>
        <v>6.9874778005782562E-4</v>
      </c>
      <c r="AB111" s="19">
        <f t="shared" si="97"/>
        <v>3.22474262083989E-3</v>
      </c>
      <c r="AC111" s="19">
        <f t="shared" si="98"/>
        <v>2.4590121151811711E-20</v>
      </c>
      <c r="AD111" s="19">
        <f t="shared" si="99"/>
        <v>2.4590121151811711E-20</v>
      </c>
      <c r="AE111" s="19">
        <f t="shared" si="100"/>
        <v>0.99926899265108438</v>
      </c>
      <c r="AF111" s="19">
        <f t="shared" si="101"/>
        <v>3.22474262083989E-3</v>
      </c>
      <c r="AG111" s="123">
        <f t="shared" si="102"/>
        <v>3.2126117595551958E-2</v>
      </c>
      <c r="AH111" s="123">
        <f t="shared" si="103"/>
        <v>5.0060166487543257E-3</v>
      </c>
      <c r="AI111" s="123" t="str">
        <f t="shared" si="104"/>
        <v/>
      </c>
      <c r="AJ111" s="123" t="str">
        <f t="shared" si="105"/>
        <v/>
      </c>
      <c r="AK111" s="123" t="str">
        <f t="shared" si="106"/>
        <v/>
      </c>
      <c r="AL111" s="123" t="str">
        <f t="shared" si="107"/>
        <v/>
      </c>
      <c r="AM111" s="123" t="str">
        <f t="shared" si="108"/>
        <v/>
      </c>
      <c r="AN111" s="123" t="str">
        <f t="shared" si="109"/>
        <v/>
      </c>
      <c r="AO111" s="123">
        <f t="shared" si="110"/>
        <v>2.6107405317765217E-5</v>
      </c>
      <c r="AP111" s="123" t="str">
        <f t="shared" si="111"/>
        <v/>
      </c>
      <c r="AQ111" s="131">
        <f t="shared" si="114"/>
        <v>9.3545131927460626E-2</v>
      </c>
      <c r="AR111" s="123">
        <f t="shared" si="115"/>
        <v>9.3545131927460626E-2</v>
      </c>
      <c r="AS111" s="1002"/>
      <c r="AT111" s="446">
        <v>9.3545131927460626E-2</v>
      </c>
      <c r="AU111" s="132">
        <f t="shared" si="116"/>
        <v>0.78535918892237955</v>
      </c>
      <c r="AV111" s="17"/>
      <c r="AW111" s="125">
        <f t="shared" si="117"/>
        <v>-1.0785016980030093E-2</v>
      </c>
      <c r="AX111" s="16"/>
      <c r="AY111" s="26"/>
    </row>
    <row r="112" spans="1:51">
      <c r="B112" s="512"/>
      <c r="C112" s="125"/>
      <c r="D112" s="124" t="str">
        <f t="shared" ref="D112:D175" si="118">IF(A112="","",10^-((((B112-P$12)/P$13)+7))/$AU112)</f>
        <v/>
      </c>
      <c r="E112" s="124" t="str">
        <f t="shared" ref="E112:E175" si="119">IF(A112="","",IF(A113="",(B112-B111)/(A112-A111),((B113-B112)/(A113-A112)+(B112-B111)/(A112-A111))/2))</f>
        <v/>
      </c>
      <c r="F112" s="125" t="str">
        <f t="shared" ref="F112:F175" si="120">IF(A112="","",IF(C112="","0,00001",(IF(ABS(C112-B112)&lt;0.00001,0.00001,C112-B112))))</f>
        <v/>
      </c>
      <c r="G112" s="123" t="str">
        <f t="shared" ref="G112:G175" si="121">IF(A112="","",IF(AX112="X",0,IF(ABS(E112)&lt;0.00001,(0.00001^M$20)*(ABS(H112)^I$20)*ABS(F112)^K$20,((ABS(E112))^M$20)*((ABS(H112))^I$20)*ABS(F112)^K$20)))</f>
        <v/>
      </c>
      <c r="H112" s="123" t="str">
        <f t="shared" ref="H112:H175" si="122">IF(A112="","",I112-J112)</f>
        <v/>
      </c>
      <c r="I112" s="124" t="str">
        <f t="shared" ref="I112:I175" si="123">IF(A112="","",L112*I$18+K112*E$19)</f>
        <v/>
      </c>
      <c r="J112" s="124" t="str">
        <f t="shared" ref="J112:J175" si="124">IF(A112="","",D112 -$AC$9/AU112^2/D112+L112*(W112*$B$11+X112*$C$11+Y112*$D$11+Z112*$E$11+AA112*$F$11+AB112*$G$11+AC112*$H$11)+K112*(AD112*$B$18+AE112*$C$18+AF112*$D$18))</f>
        <v/>
      </c>
      <c r="K112" s="125" t="str">
        <f t="shared" ref="K112:K175" si="125">IF(A112="","",A112/(A112+$G$16))</f>
        <v/>
      </c>
      <c r="L112" s="125" t="str">
        <f t="shared" ref="L112:L175" si="126">IF(A112="","",$E$16/(A112+$G$16))</f>
        <v/>
      </c>
      <c r="M112" s="123" t="str">
        <f t="shared" ref="M112:M175" si="127">IF($A112="","",(1+(V$5*$AU112^(-2*V$4))*$D112+(V$6*$AU112^(-4*V$4-2))*$D112^2+(V$7*$AU112^(-6*V$4-6))*$D112^3+(V$8*$AU112^(-8*V$4-12))*$D112^4+(V$9*$AU112^(-10*V$4-20))*$D112^5+(V$10*$AU112^(-12*V$4-30))*$D112^6))</f>
        <v/>
      </c>
      <c r="N112" s="123" t="str">
        <f t="shared" ref="N112:N175" si="128">IF($A112="","",(1+(W$5*$AU112^(-2*W$4))*$D112+(W$6*$AU112^(-4*W$4-2))*$D112^2+(W$7*$AU112^(-6*W$4-6))*$D112^3+(W$8*$AU112^(-8*W$4-12))*$D112^4+(W$9*$AU112^(-10*W$4-20))*$D112^5+(W$10*$AU112^(-12*W$4-30))*$D112^6))</f>
        <v/>
      </c>
      <c r="O112" s="123" t="str">
        <f t="shared" ref="O112:O175" si="129">IF($A112="","",(1+(X$5*$AU112^(-2*X$4))*$D112+(X$6*$AU112^(-4*X$4-2))*$D112^2+(X$7*$AU112^(-6*X$4-6))*$D112^3+(X$8*$AU112^(-8*X$4-12))*$D112^4+(X$9*$AU112^(-10*X$4-20))*$D112^5+(X$10*$AU112^(-12*X$4-30))*$D112^6))</f>
        <v/>
      </c>
      <c r="P112" s="123" t="str">
        <f t="shared" ref="P112:P175" si="130">IF($A112="","",(1+(Y$5*$AU112^(-2*Y$4))*$D112+(Y$6*$AU112^(-4*Y$4-2))*$D112^2+(Y$7*$AU112^(-6*Y$4-6))*$D112^3+(Y$8*$AU112^(-8*Y$4-12))*$D112^4+(Y$9*$AU112^(-10*Y$4-20))*$D112^5+(Y$10*$AU112^(-12*Y$4-30))*$D112^6))</f>
        <v/>
      </c>
      <c r="Q112" s="123" t="str">
        <f t="shared" ref="Q112:Q175" si="131">IF($A112="","",(1+(Z$5*$AU112^(-2*Z$4))*$D112+(Z$6*$AU112^(-4*Z$4-2))*$D112^2+(Z$7*$AU112^(-6*Z$4-6))*$D112^3+(Z$8*$AU112^(-8*Z$4-12))*$D112^4+(Z$9*$AU112^(-10*Z$4-20))*$D112^5+(Z$10*$AU112^(-12*Z$4-30))*$D112^6))</f>
        <v/>
      </c>
      <c r="R112" s="123" t="str">
        <f t="shared" ref="R112:R175" si="132">IF($A112="","",(1+(AA$5*$AU112^(-2*AA$4))*$D112+(AA$6*$AU112^(-4*AA$4-2))*$D112^2+(AA$7*$AU112^(-6*AA$4-6))*$D112^3+(AA$8*$AU112^(-8*AA$4-12))*$D112^4+(AA$9*$AU112^(-10*AA$4-20))*$D112^5+(AA$10*$AU112^(-12*AA$4-30))*$D112^6))</f>
        <v/>
      </c>
      <c r="S112" s="123" t="str">
        <f t="shared" ref="S112:S175" si="133">IF($A112="","",(1+(AB$5*$AU112^(-2*AB$4))*$D112+(AB$6*$AU112^(-4*AB$4-2))*$D112^2+(AB$7*$AU112^(-6*AB$4-6))*$D112^3+(AB$8*$AU112^(-8*AB$4-12))*$D112^4+(AB$9*$AU112^(-10*AB$4-20))*$D112^5+(AB$10*$AU112^(-12*AB$4-30))*$D112^6))</f>
        <v/>
      </c>
      <c r="T112" s="123" t="str">
        <f t="shared" ref="T112:T175" si="134">IF($A112="","",(1+(AC$5*$AU112^(-2*AC$4))*$D112+(AC$6*$AU112^(-4*AC$4-2))*$D112^2))</f>
        <v/>
      </c>
      <c r="U112" s="123" t="str">
        <f t="shared" ref="U112:U175" si="135">IF($A112="","",(1+(AD$5*$AU112^(-2*AD$4))*$D112+(AD$6*$AU112^(-4*AD$4-2))*$D112^2))</f>
        <v/>
      </c>
      <c r="V112" s="123" t="str">
        <f t="shared" ref="V112:V175" si="136">IF($A112="","",(1+(AE$5*$AU112^(-2*AE$4))*$D112+(AE$6*$AU112^(-4*AE$4-2))*$D112^2))</f>
        <v/>
      </c>
      <c r="W112" s="19" t="str">
        <f t="shared" ref="W112:W175" si="137">IF($A112="","",((V$5*$AU112^(-2*V$4))*$D112+2*(V$6*$AU112^(-4*V$4-2))*$D112^2+3*(V$7*$AU112^(-6*V$4-6))*$D112^3+4*(V$8*$AU112^(-8*V$4-12))*$D112^4+5*(V$9*$AU112^(-10*V$4-20))*$D112^5+6*(V$10*$AU112^(-12*V$4-30))*$D112^6)/M112)</f>
        <v/>
      </c>
      <c r="X112" s="19" t="str">
        <f t="shared" ref="X112:X175" si="138">IF($A112="","",((W$5*$AU112^(-2*W$4))*$D112+2*(W$6*$AU112^(-4*W$4-2))*$D112^2+3*(W$7*$AU112^(-6*W$4-6))*$D112^3+4*(W$8*$AU112^(-8*W$4-12))*$D112^4+5*(W$9*$AU112^(-10*W$4-20))*$D112^5+6*(W$10*$AU112^(-12*W$4-30))*$D112^6)/N112)</f>
        <v/>
      </c>
      <c r="Y112" s="19" t="str">
        <f t="shared" ref="Y112:Y175" si="139">IF($A112="","",((X$5*$AU112^(-2*X$4))*$D112+2*(X$6*$AU112^(-4*X$4-2))*$D112^2+3*(X$7*$AU112^(-6*X$4-6))*$D112^3+4*(X$8*$AU112^(-8*X$4-12))*$D112^4+5*(X$9*$AU112^(-10*X$4-20))*$D112^5+6*(X$10*$AU112^(-12*X$4-30))*$D112^6)/O112)</f>
        <v/>
      </c>
      <c r="Z112" s="19" t="str">
        <f t="shared" ref="Z112:Z175" si="140">IF($A112="","",((Y$5*$AU112^(-2*Y$4))*$D112+2*(Y$6*$AU112^(-4*Y$4-2))*$D112^2+3*(Y$7*$AU112^(-6*Y$4-6))*$D112^3+4*(Y$8*$AU112^(-8*Y$4-12))*$D112^4+5*(Y$9*$AU112^(-10*Y$4-20))*$D112^5+6*(Y$10*$AU112^(-12*Y$4-30))*$D112^6)/P112)</f>
        <v/>
      </c>
      <c r="AA112" s="19" t="str">
        <f t="shared" ref="AA112:AA175" si="141">IF($A112="","",((Z$5*$AU112^(-2*Z$4))*$D112+2*(Z$6*$AU112^(-4*Z$4-2))*$D112^2+3*(Z$7*$AU112^(-6*Z$4-6))*$D112^3+4*(Z$8*$AU112^(-8*Z$4-12))*$D112^4+5*(Z$9*$AU112^(-10*Z$4-20))*$D112^5+6*(Z$10*$AU112^(-12*Z$4-30))*$D112^6)/Q112)</f>
        <v/>
      </c>
      <c r="AB112" s="19" t="str">
        <f t="shared" ref="AB112:AB175" si="142">IF($A112="","",((AA$5*$AU112^(-2*AA$4))*$D112+2*(AA$6*$AU112^(-4*AA$4-2))*$D112^2+3*(AA$7*$AU112^(-6*AA$4-6))*$D112^3+4*(AA$8*$AU112^(-8*AA$4-12))*$D112^4+5*(AA$9*$AU112^(-10*AA$4-20))*$D112^5+6*(AA$10*$AU112^(-12*AA$4-30))*$D112^6)/R112)</f>
        <v/>
      </c>
      <c r="AC112" s="19" t="str">
        <f t="shared" ref="AC112:AC175" si="143">IF($A112="","",((AB$5*$AU112^(-2*AB$4))*$D112+2*(AB$6*$AU112^(-4*AB$4-2))*$D112^2+3*(AB$7*$AU112^(-6*AB$4-6))*$D112^3+4*(AB$8*$AU112^(-8*AB$4-12))*$D112^4+5*(AB$9*$AU112^(-10*AB$4-20))*$D112^5+6*(AB$10*$AU112^(-12*AB$4-30))*$D112^6)/S112)</f>
        <v/>
      </c>
      <c r="AD112" s="19" t="str">
        <f t="shared" ref="AD112:AD175" si="144">IF($A112="","",((AC$5*$AU112^(-2*AC$4))*$D112+2*(AC$6*$AU112^(-4*AC$4-2))*$D112^2)/T112)</f>
        <v/>
      </c>
      <c r="AE112" s="19" t="str">
        <f t="shared" ref="AE112:AE175" si="145">IF($A112="","",((AD$5*$AU112^(-2*AD$4))*$D112+2*(AD$6*$AU112^(-4*AD$4-2))*$D112^2)/U112)</f>
        <v/>
      </c>
      <c r="AF112" s="19" t="str">
        <f t="shared" ref="AF112:AF175" si="146">IF($A112="","",((AE$5*$AU112^(-2*AE$4))*$D112+2*(AE$6*$AU112^(-4*AE$4-2))*$D112^2)/V112)</f>
        <v/>
      </c>
      <c r="AG112" s="123" t="str">
        <f t="shared" ref="AG112:AG175" si="147">IF(B$11=0,"",IF($A112="","",0.5*B$11*$L112*(1*V$4^2+(V$5*$AU112^(-2*V$4))*$D112*(V$4+1)^2+(V$6*$AU112^(-4*V$4-2))*$D112^2*(V$4+2)^2+(V$7*$AU112^(-6*V$4-6))*$D112^3*(V$4+3)^2+(V$8*$AU112^(-8*V$4-12))*$D112^4*(V$4+4)^2+(V$9*$AU112^(-10*V$4-20))*$D112^5*(V$4+5)^2+(V$10*$AU112^(-12*V$4-30))*$D112^6*(V$4+6)^2)/M112))</f>
        <v/>
      </c>
      <c r="AH112" s="123" t="str">
        <f t="shared" ref="AH112:AH175" si="148">IF(C$11=0,"",IF($A112="","",0.5*C$11*$L112*(1*W$4^2+(W$5*$AU112^(-2*W$4))*$D112*(W$4+1)^2+(W$6*$AU112^(-4*W$4-2))*$D112^2*(W$4+2)^2+(W$7*$AU112^(-6*W$4-6))*$D112^3*(W$4+3)^2+(W$8*$AU112^(-8*W$4-12))*$D112^4*(W$4+4)^2+(W$9*$AU112^(-10*W$4-20))*$D112^5*(W$4+5)^2+(W$10*$AU112^(-12*W$4-30))*$D112^6*(W$4+6)^2)/N112))</f>
        <v/>
      </c>
      <c r="AI112" s="123" t="str">
        <f t="shared" ref="AI112:AI175" si="149">IF(D$11=0,"",IF($A112="","",0.5*D$11*$L112*(1*X$4^2+(X$5*$AU112^(-2*X$4))*$D112*(X$4+1)^2+(X$6*$AU112^(-4*X$4-2))*$D112^2*(X$4+2)^2+(X$7*$AU112^(-6*X$4-6))*$D112^3*(X$4+3)^2+(X$8*$AU112^(-8*X$4-12))*$D112^4*(X$4+4)^2+(X$9*$AU112^(-10*X$4-20))*$D112^5*(X$4+5)^2+(X$10*$AU112^(-12*X$4-30))*$D112^6*(X$4+6)^2)/O112))</f>
        <v/>
      </c>
      <c r="AJ112" s="123" t="str">
        <f t="shared" ref="AJ112:AJ175" si="150">IF(E$11=0,"",IF($A112="","",0.5*E$11*$L112*(1*Y$4^2+(Y$5*$AU112^(-2*Y$4))*$D112*(Y$4+1)^2+(Y$6*$AU112^(-4*Y$4-2))*$D112^2*(Y$4+2)^2+(Y$7*$AU112^(-6*Y$4-6))*$D112^3*(Y$4+3)^2+(Y$8*$AU112^(-8*Y$4-12))*$D112^4*(Y$4+4)^2+(Y$9*$AU112^(-10*Y$4-20))*$D112^5*(Y$4+5)^2+(Y$10*$AU112^(-12*Y$4-30))*$D112^6*(Y$4+6)^2)/P112))</f>
        <v/>
      </c>
      <c r="AK112" s="123" t="str">
        <f t="shared" ref="AK112:AK175" si="151">IF(F$11=0,"",IF($A112="","",0.5*F$11*$L112*(1*Z$4^2+(Z$5*$AU112^(-2*Z$4))*$D112*(Z$4+1)^2+(Z$6*$AU112^(-4*Z$4-2))*$D112^2*(Z$4+2)^2+(Z$7*$AU112^(-6*Z$4-6))*$D112^3*(Z$4+3)^2+(Z$8*$AU112^(-8*Z$4-12))*$D112^4*(Z$4+4)^2+(Z$9*$AU112^(-10*Z$4-20))*$D112^5*(Z$4+5)^2+(Z$10*$AU112^(-12*Z$4-30))*$D112^6*(Z$4+6)^2)/Q112))</f>
        <v/>
      </c>
      <c r="AL112" s="123" t="str">
        <f t="shared" ref="AL112:AL175" si="152">IF(G$11=0,"",IF($A112="","",0.5*G$11*$L112*(1*AA$4^2+(AA$5*$AU112^(-2*AA$4))*$D112*(AA$4+1)^2+(AA$6*$AU112^(-4*AA$4-2))*$D112^2*(AA$4+2)^2+(AA$7*$AU112^(-6*AA$4-6))*$D112^3*(AA$4+3)^2+(AA$8*$AU112^(-8*AA$4-12))*$D112^4*(AA$4+4)^2+(AA$9*$AU112^(-10*AA$4-20))*$D112^5*(AA$4+5)^2+(AA$10*$AU112^(-12*AA$4-30))*$D112^6*(AA$4+6)^2)/R112))</f>
        <v/>
      </c>
      <c r="AM112" s="123" t="str">
        <f t="shared" ref="AM112:AM175" si="153">IF(H$11=0,"",IF($A112="","",0.5*H$11*$L112*(1*AB$4^2+(AB$5*$AU112^(-2*AB$4))*$D112*(AB$4+1)^2+(AB$6*$AU112^(-4*AB$4-2))*$D112^2*(AB$4+2)^2+(AB$7*$AU112^(-6*AB$4-6))*$D112^3*(AB$4+3)^2+(AB$8*$AU112^(-8*AB$4-12))*$D112^4*(AB$4+4)^2+(AB$9*$AU112^(-10*AB$4-20))*$D112^5*(AB$4+5)^2+(AB$10*$AU112^(-12*AB$4-30))*$D112^6*(AB$4+6)^2)/S112))</f>
        <v/>
      </c>
      <c r="AN112" s="123" t="str">
        <f t="shared" ref="AN112:AN175" si="154">IF(B$18=0,"",IF($A112="","",0.5*B$18*$K112*(1*AC$4^2+(AC$5*$AU112^(-2*AC$4))*$D112*(AC$4+1)^2+(AC$6*$AU112^(-4*AC$4-2))*$D112^2*(AC$4+2)^2)/T112))</f>
        <v/>
      </c>
      <c r="AO112" s="123" t="str">
        <f t="shared" ref="AO112:AO175" si="155">IF(C$18=0,"",IF($A112="","",0.5*C$18*$K112*(1*AD$4^2+(AD$5*$AU112^(-2*AD$4))*$D112*(AD$4+1)^2+(AD$6*$AU112^(-4*AD$4-2))*$D112^2*(AD$4+2)^2)/U112))</f>
        <v/>
      </c>
      <c r="AP112" s="123" t="str">
        <f t="shared" ref="AP112:AP175" si="156">IF(D$18=0,"",IF($A112="","",0.5*D$18*$K112*(1*AE$4^2+(AE$5*$AU112^(-2*AE$4))*$D112*(AE$4+1)^2+(AE$6*$AU112^(-4*AE$4-2))*$D112^2*(AE$4+2)^2)/V112))</f>
        <v/>
      </c>
      <c r="AQ112" s="131" t="str">
        <f t="shared" ref="AQ112:AQ175" si="157">IF(A112="","",SUM(AG112:AP112)+0.5*(D112+ $AC$9/AU112^2/D112)+$L112*$S$16+$K112*$T$16)</f>
        <v/>
      </c>
      <c r="AR112" s="123" t="str">
        <f t="shared" ref="AR112:AR175" si="158">IF(A112="","",AQ112+$L112*S$14+$K112*$T$14)</f>
        <v/>
      </c>
      <c r="AS112" s="1002"/>
      <c r="AT112" s="446"/>
      <c r="AU112" s="132" t="str">
        <f t="shared" ref="AU112:AU175" si="159">IF(A112="","",10^(-$P$16*($AT112^0.5/(1+$AT112^0.5)-$P$17*$AT112)))</f>
        <v/>
      </c>
      <c r="AV112" s="17"/>
      <c r="AW112" s="125" t="str">
        <f t="shared" ref="AW112:AW175" si="160">IF(C112="","",C112-B112)</f>
        <v/>
      </c>
      <c r="AX112" s="16"/>
      <c r="AY112" s="26"/>
    </row>
    <row r="113" spans="2:51">
      <c r="B113" s="512"/>
      <c r="C113" s="125"/>
      <c r="D113" s="124" t="str">
        <f t="shared" si="118"/>
        <v/>
      </c>
      <c r="E113" s="124" t="str">
        <f t="shared" si="119"/>
        <v/>
      </c>
      <c r="F113" s="125" t="str">
        <f t="shared" si="120"/>
        <v/>
      </c>
      <c r="G113" s="123" t="str">
        <f t="shared" si="121"/>
        <v/>
      </c>
      <c r="H113" s="123" t="str">
        <f t="shared" si="122"/>
        <v/>
      </c>
      <c r="I113" s="124" t="str">
        <f t="shared" si="123"/>
        <v/>
      </c>
      <c r="J113" s="124" t="str">
        <f t="shared" si="124"/>
        <v/>
      </c>
      <c r="K113" s="125" t="str">
        <f t="shared" si="125"/>
        <v/>
      </c>
      <c r="L113" s="125" t="str">
        <f t="shared" si="126"/>
        <v/>
      </c>
      <c r="M113" s="123" t="str">
        <f t="shared" si="127"/>
        <v/>
      </c>
      <c r="N113" s="123" t="str">
        <f t="shared" si="128"/>
        <v/>
      </c>
      <c r="O113" s="123" t="str">
        <f t="shared" si="129"/>
        <v/>
      </c>
      <c r="P113" s="123" t="str">
        <f t="shared" si="130"/>
        <v/>
      </c>
      <c r="Q113" s="123" t="str">
        <f t="shared" si="131"/>
        <v/>
      </c>
      <c r="R113" s="123" t="str">
        <f t="shared" si="132"/>
        <v/>
      </c>
      <c r="S113" s="123" t="str">
        <f t="shared" si="133"/>
        <v/>
      </c>
      <c r="T113" s="123" t="str">
        <f t="shared" si="134"/>
        <v/>
      </c>
      <c r="U113" s="123" t="str">
        <f t="shared" si="135"/>
        <v/>
      </c>
      <c r="V113" s="123" t="str">
        <f t="shared" si="136"/>
        <v/>
      </c>
      <c r="W113" s="19" t="str">
        <f t="shared" si="137"/>
        <v/>
      </c>
      <c r="X113" s="19" t="str">
        <f t="shared" si="138"/>
        <v/>
      </c>
      <c r="Y113" s="19" t="str">
        <f t="shared" si="139"/>
        <v/>
      </c>
      <c r="Z113" s="19" t="str">
        <f t="shared" si="140"/>
        <v/>
      </c>
      <c r="AA113" s="19" t="str">
        <f t="shared" si="141"/>
        <v/>
      </c>
      <c r="AB113" s="19" t="str">
        <f t="shared" si="142"/>
        <v/>
      </c>
      <c r="AC113" s="19" t="str">
        <f t="shared" si="143"/>
        <v/>
      </c>
      <c r="AD113" s="19" t="str">
        <f t="shared" si="144"/>
        <v/>
      </c>
      <c r="AE113" s="19" t="str">
        <f t="shared" si="145"/>
        <v/>
      </c>
      <c r="AF113" s="19" t="str">
        <f t="shared" si="146"/>
        <v/>
      </c>
      <c r="AG113" s="123" t="str">
        <f t="shared" si="147"/>
        <v/>
      </c>
      <c r="AH113" s="123" t="str">
        <f t="shared" si="148"/>
        <v/>
      </c>
      <c r="AI113" s="123" t="str">
        <f t="shared" si="149"/>
        <v/>
      </c>
      <c r="AJ113" s="123" t="str">
        <f t="shared" si="150"/>
        <v/>
      </c>
      <c r="AK113" s="123" t="str">
        <f t="shared" si="151"/>
        <v/>
      </c>
      <c r="AL113" s="123" t="str">
        <f t="shared" si="152"/>
        <v/>
      </c>
      <c r="AM113" s="123" t="str">
        <f t="shared" si="153"/>
        <v/>
      </c>
      <c r="AN113" s="123" t="str">
        <f t="shared" si="154"/>
        <v/>
      </c>
      <c r="AO113" s="123" t="str">
        <f t="shared" si="155"/>
        <v/>
      </c>
      <c r="AP113" s="123" t="str">
        <f t="shared" si="156"/>
        <v/>
      </c>
      <c r="AQ113" s="131" t="str">
        <f t="shared" si="157"/>
        <v/>
      </c>
      <c r="AR113" s="123" t="str">
        <f t="shared" si="158"/>
        <v/>
      </c>
      <c r="AS113" s="1002"/>
      <c r="AT113" s="446"/>
      <c r="AU113" s="132" t="str">
        <f t="shared" si="159"/>
        <v/>
      </c>
      <c r="AV113" s="17"/>
      <c r="AW113" s="125" t="str">
        <f t="shared" si="160"/>
        <v/>
      </c>
      <c r="AX113" s="16"/>
      <c r="AY113" s="26"/>
    </row>
    <row r="114" spans="2:51">
      <c r="B114" s="512"/>
      <c r="C114" s="125"/>
      <c r="D114" s="124" t="str">
        <f t="shared" si="118"/>
        <v/>
      </c>
      <c r="E114" s="124" t="str">
        <f t="shared" si="119"/>
        <v/>
      </c>
      <c r="F114" s="125" t="str">
        <f t="shared" si="120"/>
        <v/>
      </c>
      <c r="G114" s="123" t="str">
        <f t="shared" si="121"/>
        <v/>
      </c>
      <c r="H114" s="123" t="str">
        <f t="shared" si="122"/>
        <v/>
      </c>
      <c r="I114" s="124" t="str">
        <f t="shared" si="123"/>
        <v/>
      </c>
      <c r="J114" s="124" t="str">
        <f t="shared" si="124"/>
        <v/>
      </c>
      <c r="K114" s="125" t="str">
        <f t="shared" si="125"/>
        <v/>
      </c>
      <c r="L114" s="125" t="str">
        <f t="shared" si="126"/>
        <v/>
      </c>
      <c r="M114" s="123" t="str">
        <f t="shared" si="127"/>
        <v/>
      </c>
      <c r="N114" s="123" t="str">
        <f t="shared" si="128"/>
        <v/>
      </c>
      <c r="O114" s="123" t="str">
        <f t="shared" si="129"/>
        <v/>
      </c>
      <c r="P114" s="123" t="str">
        <f t="shared" si="130"/>
        <v/>
      </c>
      <c r="Q114" s="123" t="str">
        <f t="shared" si="131"/>
        <v/>
      </c>
      <c r="R114" s="123" t="str">
        <f t="shared" si="132"/>
        <v/>
      </c>
      <c r="S114" s="123" t="str">
        <f t="shared" si="133"/>
        <v/>
      </c>
      <c r="T114" s="123" t="str">
        <f t="shared" si="134"/>
        <v/>
      </c>
      <c r="U114" s="123" t="str">
        <f t="shared" si="135"/>
        <v/>
      </c>
      <c r="V114" s="123" t="str">
        <f t="shared" si="136"/>
        <v/>
      </c>
      <c r="W114" s="19" t="str">
        <f t="shared" si="137"/>
        <v/>
      </c>
      <c r="X114" s="19" t="str">
        <f t="shared" si="138"/>
        <v/>
      </c>
      <c r="Y114" s="19" t="str">
        <f t="shared" si="139"/>
        <v/>
      </c>
      <c r="Z114" s="19" t="str">
        <f t="shared" si="140"/>
        <v/>
      </c>
      <c r="AA114" s="19" t="str">
        <f t="shared" si="141"/>
        <v/>
      </c>
      <c r="AB114" s="19" t="str">
        <f t="shared" si="142"/>
        <v/>
      </c>
      <c r="AC114" s="19" t="str">
        <f t="shared" si="143"/>
        <v/>
      </c>
      <c r="AD114" s="19" t="str">
        <f t="shared" si="144"/>
        <v/>
      </c>
      <c r="AE114" s="19" t="str">
        <f t="shared" si="145"/>
        <v/>
      </c>
      <c r="AF114" s="19" t="str">
        <f t="shared" si="146"/>
        <v/>
      </c>
      <c r="AG114" s="123" t="str">
        <f t="shared" si="147"/>
        <v/>
      </c>
      <c r="AH114" s="123" t="str">
        <f t="shared" si="148"/>
        <v/>
      </c>
      <c r="AI114" s="123" t="str">
        <f t="shared" si="149"/>
        <v/>
      </c>
      <c r="AJ114" s="123" t="str">
        <f t="shared" si="150"/>
        <v/>
      </c>
      <c r="AK114" s="123" t="str">
        <f t="shared" si="151"/>
        <v/>
      </c>
      <c r="AL114" s="123" t="str">
        <f t="shared" si="152"/>
        <v/>
      </c>
      <c r="AM114" s="123" t="str">
        <f t="shared" si="153"/>
        <v/>
      </c>
      <c r="AN114" s="123" t="str">
        <f t="shared" si="154"/>
        <v/>
      </c>
      <c r="AO114" s="123" t="str">
        <f t="shared" si="155"/>
        <v/>
      </c>
      <c r="AP114" s="123" t="str">
        <f t="shared" si="156"/>
        <v/>
      </c>
      <c r="AQ114" s="131" t="str">
        <f t="shared" si="157"/>
        <v/>
      </c>
      <c r="AR114" s="123" t="str">
        <f t="shared" si="158"/>
        <v/>
      </c>
      <c r="AS114" s="1002"/>
      <c r="AT114" s="446"/>
      <c r="AU114" s="132" t="str">
        <f t="shared" si="159"/>
        <v/>
      </c>
      <c r="AV114" s="17"/>
      <c r="AW114" s="125" t="str">
        <f t="shared" si="160"/>
        <v/>
      </c>
      <c r="AX114" s="16"/>
      <c r="AY114" s="26"/>
    </row>
    <row r="115" spans="2:51">
      <c r="B115" s="512"/>
      <c r="C115" s="125"/>
      <c r="D115" s="124" t="str">
        <f t="shared" si="118"/>
        <v/>
      </c>
      <c r="E115" s="124" t="str">
        <f t="shared" si="119"/>
        <v/>
      </c>
      <c r="F115" s="125" t="str">
        <f t="shared" si="120"/>
        <v/>
      </c>
      <c r="G115" s="123" t="str">
        <f t="shared" si="121"/>
        <v/>
      </c>
      <c r="H115" s="123" t="str">
        <f t="shared" si="122"/>
        <v/>
      </c>
      <c r="I115" s="124" t="str">
        <f t="shared" si="123"/>
        <v/>
      </c>
      <c r="J115" s="124" t="str">
        <f t="shared" si="124"/>
        <v/>
      </c>
      <c r="K115" s="125" t="str">
        <f t="shared" si="125"/>
        <v/>
      </c>
      <c r="L115" s="125" t="str">
        <f t="shared" si="126"/>
        <v/>
      </c>
      <c r="M115" s="123" t="str">
        <f t="shared" si="127"/>
        <v/>
      </c>
      <c r="N115" s="123" t="str">
        <f t="shared" si="128"/>
        <v/>
      </c>
      <c r="O115" s="123" t="str">
        <f t="shared" si="129"/>
        <v/>
      </c>
      <c r="P115" s="123" t="str">
        <f t="shared" si="130"/>
        <v/>
      </c>
      <c r="Q115" s="123" t="str">
        <f t="shared" si="131"/>
        <v/>
      </c>
      <c r="R115" s="123" t="str">
        <f t="shared" si="132"/>
        <v/>
      </c>
      <c r="S115" s="123" t="str">
        <f t="shared" si="133"/>
        <v/>
      </c>
      <c r="T115" s="123" t="str">
        <f t="shared" si="134"/>
        <v/>
      </c>
      <c r="U115" s="123" t="str">
        <f t="shared" si="135"/>
        <v/>
      </c>
      <c r="V115" s="123" t="str">
        <f t="shared" si="136"/>
        <v/>
      </c>
      <c r="W115" s="19" t="str">
        <f t="shared" si="137"/>
        <v/>
      </c>
      <c r="X115" s="19" t="str">
        <f t="shared" si="138"/>
        <v/>
      </c>
      <c r="Y115" s="19" t="str">
        <f t="shared" si="139"/>
        <v/>
      </c>
      <c r="Z115" s="19" t="str">
        <f t="shared" si="140"/>
        <v/>
      </c>
      <c r="AA115" s="19" t="str">
        <f t="shared" si="141"/>
        <v/>
      </c>
      <c r="AB115" s="19" t="str">
        <f t="shared" si="142"/>
        <v/>
      </c>
      <c r="AC115" s="19" t="str">
        <f t="shared" si="143"/>
        <v/>
      </c>
      <c r="AD115" s="19" t="str">
        <f t="shared" si="144"/>
        <v/>
      </c>
      <c r="AE115" s="19" t="str">
        <f t="shared" si="145"/>
        <v/>
      </c>
      <c r="AF115" s="19" t="str">
        <f t="shared" si="146"/>
        <v/>
      </c>
      <c r="AG115" s="123" t="str">
        <f t="shared" si="147"/>
        <v/>
      </c>
      <c r="AH115" s="123" t="str">
        <f t="shared" si="148"/>
        <v/>
      </c>
      <c r="AI115" s="123" t="str">
        <f t="shared" si="149"/>
        <v/>
      </c>
      <c r="AJ115" s="123" t="str">
        <f t="shared" si="150"/>
        <v/>
      </c>
      <c r="AK115" s="123" t="str">
        <f t="shared" si="151"/>
        <v/>
      </c>
      <c r="AL115" s="123" t="str">
        <f t="shared" si="152"/>
        <v/>
      </c>
      <c r="AM115" s="123" t="str">
        <f t="shared" si="153"/>
        <v/>
      </c>
      <c r="AN115" s="123" t="str">
        <f t="shared" si="154"/>
        <v/>
      </c>
      <c r="AO115" s="123" t="str">
        <f t="shared" si="155"/>
        <v/>
      </c>
      <c r="AP115" s="123" t="str">
        <f t="shared" si="156"/>
        <v/>
      </c>
      <c r="AQ115" s="131" t="str">
        <f t="shared" si="157"/>
        <v/>
      </c>
      <c r="AR115" s="123" t="str">
        <f t="shared" si="158"/>
        <v/>
      </c>
      <c r="AS115" s="1002"/>
      <c r="AT115" s="446"/>
      <c r="AU115" s="132" t="str">
        <f t="shared" si="159"/>
        <v/>
      </c>
      <c r="AV115" s="17"/>
      <c r="AW115" s="125" t="str">
        <f t="shared" si="160"/>
        <v/>
      </c>
      <c r="AX115" s="16"/>
      <c r="AY115" s="26"/>
    </row>
    <row r="116" spans="2:51">
      <c r="B116" s="512"/>
      <c r="C116" s="125"/>
      <c r="D116" s="124" t="str">
        <f t="shared" si="118"/>
        <v/>
      </c>
      <c r="E116" s="124" t="str">
        <f t="shared" si="119"/>
        <v/>
      </c>
      <c r="F116" s="125" t="str">
        <f t="shared" si="120"/>
        <v/>
      </c>
      <c r="G116" s="123" t="str">
        <f t="shared" si="121"/>
        <v/>
      </c>
      <c r="H116" s="123" t="str">
        <f t="shared" si="122"/>
        <v/>
      </c>
      <c r="I116" s="124" t="str">
        <f t="shared" si="123"/>
        <v/>
      </c>
      <c r="J116" s="124" t="str">
        <f t="shared" si="124"/>
        <v/>
      </c>
      <c r="K116" s="125" t="str">
        <f t="shared" si="125"/>
        <v/>
      </c>
      <c r="L116" s="125" t="str">
        <f t="shared" si="126"/>
        <v/>
      </c>
      <c r="M116" s="123" t="str">
        <f t="shared" si="127"/>
        <v/>
      </c>
      <c r="N116" s="123" t="str">
        <f t="shared" si="128"/>
        <v/>
      </c>
      <c r="O116" s="123" t="str">
        <f t="shared" si="129"/>
        <v/>
      </c>
      <c r="P116" s="123" t="str">
        <f t="shared" si="130"/>
        <v/>
      </c>
      <c r="Q116" s="123" t="str">
        <f t="shared" si="131"/>
        <v/>
      </c>
      <c r="R116" s="123" t="str">
        <f t="shared" si="132"/>
        <v/>
      </c>
      <c r="S116" s="123" t="str">
        <f t="shared" si="133"/>
        <v/>
      </c>
      <c r="T116" s="123" t="str">
        <f t="shared" si="134"/>
        <v/>
      </c>
      <c r="U116" s="123" t="str">
        <f t="shared" si="135"/>
        <v/>
      </c>
      <c r="V116" s="123" t="str">
        <f t="shared" si="136"/>
        <v/>
      </c>
      <c r="W116" s="19" t="str">
        <f t="shared" si="137"/>
        <v/>
      </c>
      <c r="X116" s="19" t="str">
        <f t="shared" si="138"/>
        <v/>
      </c>
      <c r="Y116" s="19" t="str">
        <f t="shared" si="139"/>
        <v/>
      </c>
      <c r="Z116" s="19" t="str">
        <f t="shared" si="140"/>
        <v/>
      </c>
      <c r="AA116" s="19" t="str">
        <f t="shared" si="141"/>
        <v/>
      </c>
      <c r="AB116" s="19" t="str">
        <f t="shared" si="142"/>
        <v/>
      </c>
      <c r="AC116" s="19" t="str">
        <f t="shared" si="143"/>
        <v/>
      </c>
      <c r="AD116" s="19" t="str">
        <f t="shared" si="144"/>
        <v/>
      </c>
      <c r="AE116" s="19" t="str">
        <f t="shared" si="145"/>
        <v/>
      </c>
      <c r="AF116" s="19" t="str">
        <f t="shared" si="146"/>
        <v/>
      </c>
      <c r="AG116" s="123" t="str">
        <f t="shared" si="147"/>
        <v/>
      </c>
      <c r="AH116" s="123" t="str">
        <f t="shared" si="148"/>
        <v/>
      </c>
      <c r="AI116" s="123" t="str">
        <f t="shared" si="149"/>
        <v/>
      </c>
      <c r="AJ116" s="123" t="str">
        <f t="shared" si="150"/>
        <v/>
      </c>
      <c r="AK116" s="123" t="str">
        <f t="shared" si="151"/>
        <v/>
      </c>
      <c r="AL116" s="123" t="str">
        <f t="shared" si="152"/>
        <v/>
      </c>
      <c r="AM116" s="123" t="str">
        <f t="shared" si="153"/>
        <v/>
      </c>
      <c r="AN116" s="123" t="str">
        <f t="shared" si="154"/>
        <v/>
      </c>
      <c r="AO116" s="123" t="str">
        <f t="shared" si="155"/>
        <v/>
      </c>
      <c r="AP116" s="123" t="str">
        <f t="shared" si="156"/>
        <v/>
      </c>
      <c r="AQ116" s="131" t="str">
        <f t="shared" si="157"/>
        <v/>
      </c>
      <c r="AR116" s="123" t="str">
        <f t="shared" si="158"/>
        <v/>
      </c>
      <c r="AS116" s="1002"/>
      <c r="AT116" s="446"/>
      <c r="AU116" s="132" t="str">
        <f t="shared" si="159"/>
        <v/>
      </c>
      <c r="AV116" s="17"/>
      <c r="AW116" s="125" t="str">
        <f t="shared" si="160"/>
        <v/>
      </c>
      <c r="AX116" s="16"/>
      <c r="AY116" s="26"/>
    </row>
    <row r="117" spans="2:51">
      <c r="B117" s="512"/>
      <c r="C117" s="125"/>
      <c r="D117" s="124" t="str">
        <f t="shared" si="118"/>
        <v/>
      </c>
      <c r="E117" s="124" t="str">
        <f t="shared" si="119"/>
        <v/>
      </c>
      <c r="F117" s="125" t="str">
        <f t="shared" si="120"/>
        <v/>
      </c>
      <c r="G117" s="123" t="str">
        <f t="shared" si="121"/>
        <v/>
      </c>
      <c r="H117" s="123" t="str">
        <f t="shared" si="122"/>
        <v/>
      </c>
      <c r="I117" s="124" t="str">
        <f t="shared" si="123"/>
        <v/>
      </c>
      <c r="J117" s="124" t="str">
        <f t="shared" si="124"/>
        <v/>
      </c>
      <c r="K117" s="125" t="str">
        <f t="shared" si="125"/>
        <v/>
      </c>
      <c r="L117" s="125" t="str">
        <f t="shared" si="126"/>
        <v/>
      </c>
      <c r="M117" s="123" t="str">
        <f t="shared" si="127"/>
        <v/>
      </c>
      <c r="N117" s="123" t="str">
        <f t="shared" si="128"/>
        <v/>
      </c>
      <c r="O117" s="123" t="str">
        <f t="shared" si="129"/>
        <v/>
      </c>
      <c r="P117" s="123" t="str">
        <f t="shared" si="130"/>
        <v/>
      </c>
      <c r="Q117" s="123" t="str">
        <f t="shared" si="131"/>
        <v/>
      </c>
      <c r="R117" s="123" t="str">
        <f t="shared" si="132"/>
        <v/>
      </c>
      <c r="S117" s="123" t="str">
        <f t="shared" si="133"/>
        <v/>
      </c>
      <c r="T117" s="123" t="str">
        <f t="shared" si="134"/>
        <v/>
      </c>
      <c r="U117" s="123" t="str">
        <f t="shared" si="135"/>
        <v/>
      </c>
      <c r="V117" s="123" t="str">
        <f t="shared" si="136"/>
        <v/>
      </c>
      <c r="W117" s="19" t="str">
        <f t="shared" si="137"/>
        <v/>
      </c>
      <c r="X117" s="19" t="str">
        <f t="shared" si="138"/>
        <v/>
      </c>
      <c r="Y117" s="19" t="str">
        <f t="shared" si="139"/>
        <v/>
      </c>
      <c r="Z117" s="19" t="str">
        <f t="shared" si="140"/>
        <v/>
      </c>
      <c r="AA117" s="19" t="str">
        <f t="shared" si="141"/>
        <v/>
      </c>
      <c r="AB117" s="19" t="str">
        <f t="shared" si="142"/>
        <v/>
      </c>
      <c r="AC117" s="19" t="str">
        <f t="shared" si="143"/>
        <v/>
      </c>
      <c r="AD117" s="19" t="str">
        <f t="shared" si="144"/>
        <v/>
      </c>
      <c r="AE117" s="19" t="str">
        <f t="shared" si="145"/>
        <v/>
      </c>
      <c r="AF117" s="19" t="str">
        <f t="shared" si="146"/>
        <v/>
      </c>
      <c r="AG117" s="123" t="str">
        <f t="shared" si="147"/>
        <v/>
      </c>
      <c r="AH117" s="123" t="str">
        <f t="shared" si="148"/>
        <v/>
      </c>
      <c r="AI117" s="123" t="str">
        <f t="shared" si="149"/>
        <v/>
      </c>
      <c r="AJ117" s="123" t="str">
        <f t="shared" si="150"/>
        <v/>
      </c>
      <c r="AK117" s="123" t="str">
        <f t="shared" si="151"/>
        <v/>
      </c>
      <c r="AL117" s="123" t="str">
        <f t="shared" si="152"/>
        <v/>
      </c>
      <c r="AM117" s="123" t="str">
        <f t="shared" si="153"/>
        <v/>
      </c>
      <c r="AN117" s="123" t="str">
        <f t="shared" si="154"/>
        <v/>
      </c>
      <c r="AO117" s="123" t="str">
        <f t="shared" si="155"/>
        <v/>
      </c>
      <c r="AP117" s="123" t="str">
        <f t="shared" si="156"/>
        <v/>
      </c>
      <c r="AQ117" s="131" t="str">
        <f t="shared" si="157"/>
        <v/>
      </c>
      <c r="AR117" s="123" t="str">
        <f t="shared" si="158"/>
        <v/>
      </c>
      <c r="AS117" s="1002"/>
      <c r="AT117" s="446"/>
      <c r="AU117" s="132" t="str">
        <f t="shared" si="159"/>
        <v/>
      </c>
      <c r="AV117" s="17"/>
      <c r="AW117" s="125" t="str">
        <f t="shared" si="160"/>
        <v/>
      </c>
      <c r="AX117" s="16"/>
      <c r="AY117" s="26"/>
    </row>
    <row r="118" spans="2:51">
      <c r="B118" s="512"/>
      <c r="C118" s="125"/>
      <c r="D118" s="124" t="str">
        <f t="shared" si="118"/>
        <v/>
      </c>
      <c r="E118" s="124" t="str">
        <f t="shared" si="119"/>
        <v/>
      </c>
      <c r="F118" s="125" t="str">
        <f t="shared" si="120"/>
        <v/>
      </c>
      <c r="G118" s="123" t="str">
        <f t="shared" si="121"/>
        <v/>
      </c>
      <c r="H118" s="123" t="str">
        <f t="shared" si="122"/>
        <v/>
      </c>
      <c r="I118" s="124" t="str">
        <f t="shared" si="123"/>
        <v/>
      </c>
      <c r="J118" s="124" t="str">
        <f t="shared" si="124"/>
        <v/>
      </c>
      <c r="K118" s="125" t="str">
        <f t="shared" si="125"/>
        <v/>
      </c>
      <c r="L118" s="125" t="str">
        <f t="shared" si="126"/>
        <v/>
      </c>
      <c r="M118" s="123" t="str">
        <f t="shared" si="127"/>
        <v/>
      </c>
      <c r="N118" s="123" t="str">
        <f t="shared" si="128"/>
        <v/>
      </c>
      <c r="O118" s="123" t="str">
        <f t="shared" si="129"/>
        <v/>
      </c>
      <c r="P118" s="123" t="str">
        <f t="shared" si="130"/>
        <v/>
      </c>
      <c r="Q118" s="123" t="str">
        <f t="shared" si="131"/>
        <v/>
      </c>
      <c r="R118" s="123" t="str">
        <f t="shared" si="132"/>
        <v/>
      </c>
      <c r="S118" s="123" t="str">
        <f t="shared" si="133"/>
        <v/>
      </c>
      <c r="T118" s="123" t="str">
        <f t="shared" si="134"/>
        <v/>
      </c>
      <c r="U118" s="123" t="str">
        <f t="shared" si="135"/>
        <v/>
      </c>
      <c r="V118" s="123" t="str">
        <f t="shared" si="136"/>
        <v/>
      </c>
      <c r="W118" s="19" t="str">
        <f t="shared" si="137"/>
        <v/>
      </c>
      <c r="X118" s="19" t="str">
        <f t="shared" si="138"/>
        <v/>
      </c>
      <c r="Y118" s="19" t="str">
        <f t="shared" si="139"/>
        <v/>
      </c>
      <c r="Z118" s="19" t="str">
        <f t="shared" si="140"/>
        <v/>
      </c>
      <c r="AA118" s="19" t="str">
        <f t="shared" si="141"/>
        <v/>
      </c>
      <c r="AB118" s="19" t="str">
        <f t="shared" si="142"/>
        <v/>
      </c>
      <c r="AC118" s="19" t="str">
        <f t="shared" si="143"/>
        <v/>
      </c>
      <c r="AD118" s="19" t="str">
        <f t="shared" si="144"/>
        <v/>
      </c>
      <c r="AE118" s="19" t="str">
        <f t="shared" si="145"/>
        <v/>
      </c>
      <c r="AF118" s="19" t="str">
        <f t="shared" si="146"/>
        <v/>
      </c>
      <c r="AG118" s="123" t="str">
        <f t="shared" si="147"/>
        <v/>
      </c>
      <c r="AH118" s="123" t="str">
        <f t="shared" si="148"/>
        <v/>
      </c>
      <c r="AI118" s="123" t="str">
        <f t="shared" si="149"/>
        <v/>
      </c>
      <c r="AJ118" s="123" t="str">
        <f t="shared" si="150"/>
        <v/>
      </c>
      <c r="AK118" s="123" t="str">
        <f t="shared" si="151"/>
        <v/>
      </c>
      <c r="AL118" s="123" t="str">
        <f t="shared" si="152"/>
        <v/>
      </c>
      <c r="AM118" s="123" t="str">
        <f t="shared" si="153"/>
        <v/>
      </c>
      <c r="AN118" s="123" t="str">
        <f t="shared" si="154"/>
        <v/>
      </c>
      <c r="AO118" s="123" t="str">
        <f t="shared" si="155"/>
        <v/>
      </c>
      <c r="AP118" s="123" t="str">
        <f t="shared" si="156"/>
        <v/>
      </c>
      <c r="AQ118" s="131" t="str">
        <f t="shared" si="157"/>
        <v/>
      </c>
      <c r="AR118" s="123" t="str">
        <f t="shared" si="158"/>
        <v/>
      </c>
      <c r="AS118" s="1002"/>
      <c r="AT118" s="446"/>
      <c r="AU118" s="132" t="str">
        <f t="shared" si="159"/>
        <v/>
      </c>
      <c r="AV118" s="17"/>
      <c r="AW118" s="125" t="str">
        <f t="shared" si="160"/>
        <v/>
      </c>
      <c r="AX118" s="16"/>
      <c r="AY118" s="26"/>
    </row>
    <row r="119" spans="2:51">
      <c r="B119" s="512"/>
      <c r="C119" s="125"/>
      <c r="D119" s="124" t="str">
        <f t="shared" si="118"/>
        <v/>
      </c>
      <c r="E119" s="124" t="str">
        <f t="shared" si="119"/>
        <v/>
      </c>
      <c r="F119" s="125" t="str">
        <f t="shared" si="120"/>
        <v/>
      </c>
      <c r="G119" s="123" t="str">
        <f t="shared" si="121"/>
        <v/>
      </c>
      <c r="H119" s="123" t="str">
        <f t="shared" si="122"/>
        <v/>
      </c>
      <c r="I119" s="124" t="str">
        <f t="shared" si="123"/>
        <v/>
      </c>
      <c r="J119" s="124" t="str">
        <f t="shared" si="124"/>
        <v/>
      </c>
      <c r="K119" s="125" t="str">
        <f t="shared" si="125"/>
        <v/>
      </c>
      <c r="L119" s="125" t="str">
        <f t="shared" si="126"/>
        <v/>
      </c>
      <c r="M119" s="123" t="str">
        <f t="shared" si="127"/>
        <v/>
      </c>
      <c r="N119" s="123" t="str">
        <f t="shared" si="128"/>
        <v/>
      </c>
      <c r="O119" s="123" t="str">
        <f t="shared" si="129"/>
        <v/>
      </c>
      <c r="P119" s="123" t="str">
        <f t="shared" si="130"/>
        <v/>
      </c>
      <c r="Q119" s="123" t="str">
        <f t="shared" si="131"/>
        <v/>
      </c>
      <c r="R119" s="123" t="str">
        <f t="shared" si="132"/>
        <v/>
      </c>
      <c r="S119" s="123" t="str">
        <f t="shared" si="133"/>
        <v/>
      </c>
      <c r="T119" s="123" t="str">
        <f t="shared" si="134"/>
        <v/>
      </c>
      <c r="U119" s="123" t="str">
        <f t="shared" si="135"/>
        <v/>
      </c>
      <c r="V119" s="123" t="str">
        <f t="shared" si="136"/>
        <v/>
      </c>
      <c r="W119" s="19" t="str">
        <f t="shared" si="137"/>
        <v/>
      </c>
      <c r="X119" s="19" t="str">
        <f t="shared" si="138"/>
        <v/>
      </c>
      <c r="Y119" s="19" t="str">
        <f t="shared" si="139"/>
        <v/>
      </c>
      <c r="Z119" s="19" t="str">
        <f t="shared" si="140"/>
        <v/>
      </c>
      <c r="AA119" s="19" t="str">
        <f t="shared" si="141"/>
        <v/>
      </c>
      <c r="AB119" s="19" t="str">
        <f t="shared" si="142"/>
        <v/>
      </c>
      <c r="AC119" s="19" t="str">
        <f t="shared" si="143"/>
        <v/>
      </c>
      <c r="AD119" s="19" t="str">
        <f t="shared" si="144"/>
        <v/>
      </c>
      <c r="AE119" s="19" t="str">
        <f t="shared" si="145"/>
        <v/>
      </c>
      <c r="AF119" s="19" t="str">
        <f t="shared" si="146"/>
        <v/>
      </c>
      <c r="AG119" s="123" t="str">
        <f t="shared" si="147"/>
        <v/>
      </c>
      <c r="AH119" s="123" t="str">
        <f t="shared" si="148"/>
        <v/>
      </c>
      <c r="AI119" s="123" t="str">
        <f t="shared" si="149"/>
        <v/>
      </c>
      <c r="AJ119" s="123" t="str">
        <f t="shared" si="150"/>
        <v/>
      </c>
      <c r="AK119" s="123" t="str">
        <f t="shared" si="151"/>
        <v/>
      </c>
      <c r="AL119" s="123" t="str">
        <f t="shared" si="152"/>
        <v/>
      </c>
      <c r="AM119" s="123" t="str">
        <f t="shared" si="153"/>
        <v/>
      </c>
      <c r="AN119" s="123" t="str">
        <f t="shared" si="154"/>
        <v/>
      </c>
      <c r="AO119" s="123" t="str">
        <f t="shared" si="155"/>
        <v/>
      </c>
      <c r="AP119" s="123" t="str">
        <f t="shared" si="156"/>
        <v/>
      </c>
      <c r="AQ119" s="131" t="str">
        <f t="shared" si="157"/>
        <v/>
      </c>
      <c r="AR119" s="123" t="str">
        <f t="shared" si="158"/>
        <v/>
      </c>
      <c r="AS119" s="1002"/>
      <c r="AT119" s="446"/>
      <c r="AU119" s="132" t="str">
        <f t="shared" si="159"/>
        <v/>
      </c>
      <c r="AV119" s="17"/>
      <c r="AW119" s="125" t="str">
        <f t="shared" si="160"/>
        <v/>
      </c>
      <c r="AX119" s="16"/>
      <c r="AY119" s="26"/>
    </row>
    <row r="120" spans="2:51">
      <c r="B120" s="512"/>
      <c r="C120" s="125"/>
      <c r="D120" s="124" t="str">
        <f t="shared" si="118"/>
        <v/>
      </c>
      <c r="E120" s="124" t="str">
        <f t="shared" si="119"/>
        <v/>
      </c>
      <c r="F120" s="125" t="str">
        <f t="shared" si="120"/>
        <v/>
      </c>
      <c r="G120" s="123" t="str">
        <f t="shared" si="121"/>
        <v/>
      </c>
      <c r="H120" s="123" t="str">
        <f t="shared" si="122"/>
        <v/>
      </c>
      <c r="I120" s="124" t="str">
        <f t="shared" si="123"/>
        <v/>
      </c>
      <c r="J120" s="124" t="str">
        <f t="shared" si="124"/>
        <v/>
      </c>
      <c r="K120" s="125" t="str">
        <f t="shared" si="125"/>
        <v/>
      </c>
      <c r="L120" s="125" t="str">
        <f t="shared" si="126"/>
        <v/>
      </c>
      <c r="M120" s="123" t="str">
        <f t="shared" si="127"/>
        <v/>
      </c>
      <c r="N120" s="123" t="str">
        <f t="shared" si="128"/>
        <v/>
      </c>
      <c r="O120" s="123" t="str">
        <f t="shared" si="129"/>
        <v/>
      </c>
      <c r="P120" s="123" t="str">
        <f t="shared" si="130"/>
        <v/>
      </c>
      <c r="Q120" s="123" t="str">
        <f t="shared" si="131"/>
        <v/>
      </c>
      <c r="R120" s="123" t="str">
        <f t="shared" si="132"/>
        <v/>
      </c>
      <c r="S120" s="123" t="str">
        <f t="shared" si="133"/>
        <v/>
      </c>
      <c r="T120" s="123" t="str">
        <f t="shared" si="134"/>
        <v/>
      </c>
      <c r="U120" s="123" t="str">
        <f t="shared" si="135"/>
        <v/>
      </c>
      <c r="V120" s="123" t="str">
        <f t="shared" si="136"/>
        <v/>
      </c>
      <c r="W120" s="19" t="str">
        <f t="shared" si="137"/>
        <v/>
      </c>
      <c r="X120" s="19" t="str">
        <f t="shared" si="138"/>
        <v/>
      </c>
      <c r="Y120" s="19" t="str">
        <f t="shared" si="139"/>
        <v/>
      </c>
      <c r="Z120" s="19" t="str">
        <f t="shared" si="140"/>
        <v/>
      </c>
      <c r="AA120" s="19" t="str">
        <f t="shared" si="141"/>
        <v/>
      </c>
      <c r="AB120" s="19" t="str">
        <f t="shared" si="142"/>
        <v/>
      </c>
      <c r="AC120" s="19" t="str">
        <f t="shared" si="143"/>
        <v/>
      </c>
      <c r="AD120" s="19" t="str">
        <f t="shared" si="144"/>
        <v/>
      </c>
      <c r="AE120" s="19" t="str">
        <f t="shared" si="145"/>
        <v/>
      </c>
      <c r="AF120" s="19" t="str">
        <f t="shared" si="146"/>
        <v/>
      </c>
      <c r="AG120" s="123" t="str">
        <f t="shared" si="147"/>
        <v/>
      </c>
      <c r="AH120" s="123" t="str">
        <f t="shared" si="148"/>
        <v/>
      </c>
      <c r="AI120" s="123" t="str">
        <f t="shared" si="149"/>
        <v/>
      </c>
      <c r="AJ120" s="123" t="str">
        <f t="shared" si="150"/>
        <v/>
      </c>
      <c r="AK120" s="123" t="str">
        <f t="shared" si="151"/>
        <v/>
      </c>
      <c r="AL120" s="123" t="str">
        <f t="shared" si="152"/>
        <v/>
      </c>
      <c r="AM120" s="123" t="str">
        <f t="shared" si="153"/>
        <v/>
      </c>
      <c r="AN120" s="123" t="str">
        <f t="shared" si="154"/>
        <v/>
      </c>
      <c r="AO120" s="123" t="str">
        <f t="shared" si="155"/>
        <v/>
      </c>
      <c r="AP120" s="123" t="str">
        <f t="shared" si="156"/>
        <v/>
      </c>
      <c r="AQ120" s="131" t="str">
        <f t="shared" si="157"/>
        <v/>
      </c>
      <c r="AR120" s="123" t="str">
        <f t="shared" si="158"/>
        <v/>
      </c>
      <c r="AS120" s="1002"/>
      <c r="AT120" s="446"/>
      <c r="AU120" s="132" t="str">
        <f t="shared" si="159"/>
        <v/>
      </c>
      <c r="AV120" s="17"/>
      <c r="AW120" s="125" t="str">
        <f t="shared" si="160"/>
        <v/>
      </c>
      <c r="AX120" s="16"/>
      <c r="AY120" s="26"/>
    </row>
    <row r="121" spans="2:51">
      <c r="B121" s="512"/>
      <c r="C121" s="125"/>
      <c r="D121" s="124" t="str">
        <f t="shared" si="118"/>
        <v/>
      </c>
      <c r="E121" s="124" t="str">
        <f t="shared" si="119"/>
        <v/>
      </c>
      <c r="F121" s="125" t="str">
        <f t="shared" si="120"/>
        <v/>
      </c>
      <c r="G121" s="123" t="str">
        <f t="shared" si="121"/>
        <v/>
      </c>
      <c r="H121" s="123" t="str">
        <f t="shared" si="122"/>
        <v/>
      </c>
      <c r="I121" s="124" t="str">
        <f t="shared" si="123"/>
        <v/>
      </c>
      <c r="J121" s="124" t="str">
        <f t="shared" si="124"/>
        <v/>
      </c>
      <c r="K121" s="125" t="str">
        <f t="shared" si="125"/>
        <v/>
      </c>
      <c r="L121" s="125" t="str">
        <f t="shared" si="126"/>
        <v/>
      </c>
      <c r="M121" s="123" t="str">
        <f t="shared" si="127"/>
        <v/>
      </c>
      <c r="N121" s="123" t="str">
        <f t="shared" si="128"/>
        <v/>
      </c>
      <c r="O121" s="123" t="str">
        <f t="shared" si="129"/>
        <v/>
      </c>
      <c r="P121" s="123" t="str">
        <f t="shared" si="130"/>
        <v/>
      </c>
      <c r="Q121" s="123" t="str">
        <f t="shared" si="131"/>
        <v/>
      </c>
      <c r="R121" s="123" t="str">
        <f t="shared" si="132"/>
        <v/>
      </c>
      <c r="S121" s="123" t="str">
        <f t="shared" si="133"/>
        <v/>
      </c>
      <c r="T121" s="123" t="str">
        <f t="shared" si="134"/>
        <v/>
      </c>
      <c r="U121" s="123" t="str">
        <f t="shared" si="135"/>
        <v/>
      </c>
      <c r="V121" s="123" t="str">
        <f t="shared" si="136"/>
        <v/>
      </c>
      <c r="W121" s="19" t="str">
        <f t="shared" si="137"/>
        <v/>
      </c>
      <c r="X121" s="19" t="str">
        <f t="shared" si="138"/>
        <v/>
      </c>
      <c r="Y121" s="19" t="str">
        <f t="shared" si="139"/>
        <v/>
      </c>
      <c r="Z121" s="19" t="str">
        <f t="shared" si="140"/>
        <v/>
      </c>
      <c r="AA121" s="19" t="str">
        <f t="shared" si="141"/>
        <v/>
      </c>
      <c r="AB121" s="19" t="str">
        <f t="shared" si="142"/>
        <v/>
      </c>
      <c r="AC121" s="19" t="str">
        <f t="shared" si="143"/>
        <v/>
      </c>
      <c r="AD121" s="19" t="str">
        <f t="shared" si="144"/>
        <v/>
      </c>
      <c r="AE121" s="19" t="str">
        <f t="shared" si="145"/>
        <v/>
      </c>
      <c r="AF121" s="19" t="str">
        <f t="shared" si="146"/>
        <v/>
      </c>
      <c r="AG121" s="123" t="str">
        <f t="shared" si="147"/>
        <v/>
      </c>
      <c r="AH121" s="123" t="str">
        <f t="shared" si="148"/>
        <v/>
      </c>
      <c r="AI121" s="123" t="str">
        <f t="shared" si="149"/>
        <v/>
      </c>
      <c r="AJ121" s="123" t="str">
        <f t="shared" si="150"/>
        <v/>
      </c>
      <c r="AK121" s="123" t="str">
        <f t="shared" si="151"/>
        <v/>
      </c>
      <c r="AL121" s="123" t="str">
        <f t="shared" si="152"/>
        <v/>
      </c>
      <c r="AM121" s="123" t="str">
        <f t="shared" si="153"/>
        <v/>
      </c>
      <c r="AN121" s="123" t="str">
        <f t="shared" si="154"/>
        <v/>
      </c>
      <c r="AO121" s="123" t="str">
        <f t="shared" si="155"/>
        <v/>
      </c>
      <c r="AP121" s="123" t="str">
        <f t="shared" si="156"/>
        <v/>
      </c>
      <c r="AQ121" s="131" t="str">
        <f t="shared" si="157"/>
        <v/>
      </c>
      <c r="AR121" s="123" t="str">
        <f t="shared" si="158"/>
        <v/>
      </c>
      <c r="AS121" s="1002"/>
      <c r="AT121" s="446"/>
      <c r="AU121" s="132" t="str">
        <f t="shared" si="159"/>
        <v/>
      </c>
      <c r="AV121" s="17"/>
      <c r="AW121" s="125" t="str">
        <f t="shared" si="160"/>
        <v/>
      </c>
      <c r="AX121" s="16"/>
      <c r="AY121" s="26"/>
    </row>
    <row r="122" spans="2:51">
      <c r="B122" s="512"/>
      <c r="C122" s="125"/>
      <c r="D122" s="124" t="str">
        <f t="shared" si="118"/>
        <v/>
      </c>
      <c r="E122" s="124" t="str">
        <f t="shared" si="119"/>
        <v/>
      </c>
      <c r="F122" s="125" t="str">
        <f t="shared" si="120"/>
        <v/>
      </c>
      <c r="G122" s="123" t="str">
        <f t="shared" si="121"/>
        <v/>
      </c>
      <c r="H122" s="123" t="str">
        <f t="shared" si="122"/>
        <v/>
      </c>
      <c r="I122" s="124" t="str">
        <f t="shared" si="123"/>
        <v/>
      </c>
      <c r="J122" s="124" t="str">
        <f t="shared" si="124"/>
        <v/>
      </c>
      <c r="K122" s="125" t="str">
        <f t="shared" si="125"/>
        <v/>
      </c>
      <c r="L122" s="125" t="str">
        <f t="shared" si="126"/>
        <v/>
      </c>
      <c r="M122" s="123" t="str">
        <f t="shared" si="127"/>
        <v/>
      </c>
      <c r="N122" s="123" t="str">
        <f t="shared" si="128"/>
        <v/>
      </c>
      <c r="O122" s="123" t="str">
        <f t="shared" si="129"/>
        <v/>
      </c>
      <c r="P122" s="123" t="str">
        <f t="shared" si="130"/>
        <v/>
      </c>
      <c r="Q122" s="123" t="str">
        <f t="shared" si="131"/>
        <v/>
      </c>
      <c r="R122" s="123" t="str">
        <f t="shared" si="132"/>
        <v/>
      </c>
      <c r="S122" s="123" t="str">
        <f t="shared" si="133"/>
        <v/>
      </c>
      <c r="T122" s="123" t="str">
        <f t="shared" si="134"/>
        <v/>
      </c>
      <c r="U122" s="123" t="str">
        <f t="shared" si="135"/>
        <v/>
      </c>
      <c r="V122" s="123" t="str">
        <f t="shared" si="136"/>
        <v/>
      </c>
      <c r="W122" s="19" t="str">
        <f t="shared" si="137"/>
        <v/>
      </c>
      <c r="X122" s="19" t="str">
        <f t="shared" si="138"/>
        <v/>
      </c>
      <c r="Y122" s="19" t="str">
        <f t="shared" si="139"/>
        <v/>
      </c>
      <c r="Z122" s="19" t="str">
        <f t="shared" si="140"/>
        <v/>
      </c>
      <c r="AA122" s="19" t="str">
        <f t="shared" si="141"/>
        <v/>
      </c>
      <c r="AB122" s="19" t="str">
        <f t="shared" si="142"/>
        <v/>
      </c>
      <c r="AC122" s="19" t="str">
        <f t="shared" si="143"/>
        <v/>
      </c>
      <c r="AD122" s="19" t="str">
        <f t="shared" si="144"/>
        <v/>
      </c>
      <c r="AE122" s="19" t="str">
        <f t="shared" si="145"/>
        <v/>
      </c>
      <c r="AF122" s="19" t="str">
        <f t="shared" si="146"/>
        <v/>
      </c>
      <c r="AG122" s="123" t="str">
        <f t="shared" si="147"/>
        <v/>
      </c>
      <c r="AH122" s="123" t="str">
        <f t="shared" si="148"/>
        <v/>
      </c>
      <c r="AI122" s="123" t="str">
        <f t="shared" si="149"/>
        <v/>
      </c>
      <c r="AJ122" s="123" t="str">
        <f t="shared" si="150"/>
        <v/>
      </c>
      <c r="AK122" s="123" t="str">
        <f t="shared" si="151"/>
        <v/>
      </c>
      <c r="AL122" s="123" t="str">
        <f t="shared" si="152"/>
        <v/>
      </c>
      <c r="AM122" s="123" t="str">
        <f t="shared" si="153"/>
        <v/>
      </c>
      <c r="AN122" s="123" t="str">
        <f t="shared" si="154"/>
        <v/>
      </c>
      <c r="AO122" s="123" t="str">
        <f t="shared" si="155"/>
        <v/>
      </c>
      <c r="AP122" s="123" t="str">
        <f t="shared" si="156"/>
        <v/>
      </c>
      <c r="AQ122" s="131" t="str">
        <f t="shared" si="157"/>
        <v/>
      </c>
      <c r="AR122" s="123" t="str">
        <f t="shared" si="158"/>
        <v/>
      </c>
      <c r="AS122" s="1002"/>
      <c r="AT122" s="446"/>
      <c r="AU122" s="132" t="str">
        <f t="shared" si="159"/>
        <v/>
      </c>
      <c r="AV122" s="17"/>
      <c r="AW122" s="125" t="str">
        <f t="shared" si="160"/>
        <v/>
      </c>
      <c r="AX122" s="16"/>
      <c r="AY122" s="26"/>
    </row>
    <row r="123" spans="2:51">
      <c r="B123" s="512"/>
      <c r="C123" s="125"/>
      <c r="D123" s="124" t="str">
        <f t="shared" si="118"/>
        <v/>
      </c>
      <c r="E123" s="124" t="str">
        <f t="shared" si="119"/>
        <v/>
      </c>
      <c r="F123" s="125" t="str">
        <f t="shared" si="120"/>
        <v/>
      </c>
      <c r="G123" s="123" t="str">
        <f t="shared" si="121"/>
        <v/>
      </c>
      <c r="H123" s="123" t="str">
        <f t="shared" si="122"/>
        <v/>
      </c>
      <c r="I123" s="124" t="str">
        <f t="shared" si="123"/>
        <v/>
      </c>
      <c r="J123" s="124" t="str">
        <f t="shared" si="124"/>
        <v/>
      </c>
      <c r="K123" s="125" t="str">
        <f t="shared" si="125"/>
        <v/>
      </c>
      <c r="L123" s="125" t="str">
        <f t="shared" si="126"/>
        <v/>
      </c>
      <c r="M123" s="123" t="str">
        <f t="shared" si="127"/>
        <v/>
      </c>
      <c r="N123" s="123" t="str">
        <f t="shared" si="128"/>
        <v/>
      </c>
      <c r="O123" s="123" t="str">
        <f t="shared" si="129"/>
        <v/>
      </c>
      <c r="P123" s="123" t="str">
        <f t="shared" si="130"/>
        <v/>
      </c>
      <c r="Q123" s="123" t="str">
        <f t="shared" si="131"/>
        <v/>
      </c>
      <c r="R123" s="123" t="str">
        <f t="shared" si="132"/>
        <v/>
      </c>
      <c r="S123" s="123" t="str">
        <f t="shared" si="133"/>
        <v/>
      </c>
      <c r="T123" s="123" t="str">
        <f t="shared" si="134"/>
        <v/>
      </c>
      <c r="U123" s="123" t="str">
        <f t="shared" si="135"/>
        <v/>
      </c>
      <c r="V123" s="123" t="str">
        <f t="shared" si="136"/>
        <v/>
      </c>
      <c r="W123" s="19" t="str">
        <f t="shared" si="137"/>
        <v/>
      </c>
      <c r="X123" s="19" t="str">
        <f t="shared" si="138"/>
        <v/>
      </c>
      <c r="Y123" s="19" t="str">
        <f t="shared" si="139"/>
        <v/>
      </c>
      <c r="Z123" s="19" t="str">
        <f t="shared" si="140"/>
        <v/>
      </c>
      <c r="AA123" s="19" t="str">
        <f t="shared" si="141"/>
        <v/>
      </c>
      <c r="AB123" s="19" t="str">
        <f t="shared" si="142"/>
        <v/>
      </c>
      <c r="AC123" s="19" t="str">
        <f t="shared" si="143"/>
        <v/>
      </c>
      <c r="AD123" s="19" t="str">
        <f t="shared" si="144"/>
        <v/>
      </c>
      <c r="AE123" s="19" t="str">
        <f t="shared" si="145"/>
        <v/>
      </c>
      <c r="AF123" s="19" t="str">
        <f t="shared" si="146"/>
        <v/>
      </c>
      <c r="AG123" s="123" t="str">
        <f t="shared" si="147"/>
        <v/>
      </c>
      <c r="AH123" s="123" t="str">
        <f t="shared" si="148"/>
        <v/>
      </c>
      <c r="AI123" s="123" t="str">
        <f t="shared" si="149"/>
        <v/>
      </c>
      <c r="AJ123" s="123" t="str">
        <f t="shared" si="150"/>
        <v/>
      </c>
      <c r="AK123" s="123" t="str">
        <f t="shared" si="151"/>
        <v/>
      </c>
      <c r="AL123" s="123" t="str">
        <f t="shared" si="152"/>
        <v/>
      </c>
      <c r="AM123" s="123" t="str">
        <f t="shared" si="153"/>
        <v/>
      </c>
      <c r="AN123" s="123" t="str">
        <f t="shared" si="154"/>
        <v/>
      </c>
      <c r="AO123" s="123" t="str">
        <f t="shared" si="155"/>
        <v/>
      </c>
      <c r="AP123" s="123" t="str">
        <f t="shared" si="156"/>
        <v/>
      </c>
      <c r="AQ123" s="131" t="str">
        <f t="shared" si="157"/>
        <v/>
      </c>
      <c r="AR123" s="123" t="str">
        <f t="shared" si="158"/>
        <v/>
      </c>
      <c r="AS123" s="1002"/>
      <c r="AT123" s="446"/>
      <c r="AU123" s="132" t="str">
        <f t="shared" si="159"/>
        <v/>
      </c>
      <c r="AV123" s="17"/>
      <c r="AW123" s="125" t="str">
        <f t="shared" si="160"/>
        <v/>
      </c>
      <c r="AX123" s="16"/>
      <c r="AY123" s="26"/>
    </row>
    <row r="124" spans="2:51">
      <c r="B124" s="512"/>
      <c r="C124" s="125"/>
      <c r="D124" s="124" t="str">
        <f t="shared" si="118"/>
        <v/>
      </c>
      <c r="E124" s="124" t="str">
        <f t="shared" si="119"/>
        <v/>
      </c>
      <c r="F124" s="125" t="str">
        <f t="shared" si="120"/>
        <v/>
      </c>
      <c r="G124" s="123" t="str">
        <f t="shared" si="121"/>
        <v/>
      </c>
      <c r="H124" s="123" t="str">
        <f t="shared" si="122"/>
        <v/>
      </c>
      <c r="I124" s="124" t="str">
        <f t="shared" si="123"/>
        <v/>
      </c>
      <c r="J124" s="124" t="str">
        <f t="shared" si="124"/>
        <v/>
      </c>
      <c r="K124" s="125" t="str">
        <f t="shared" si="125"/>
        <v/>
      </c>
      <c r="L124" s="125" t="str">
        <f t="shared" si="126"/>
        <v/>
      </c>
      <c r="M124" s="123" t="str">
        <f t="shared" si="127"/>
        <v/>
      </c>
      <c r="N124" s="123" t="str">
        <f t="shared" si="128"/>
        <v/>
      </c>
      <c r="O124" s="123" t="str">
        <f t="shared" si="129"/>
        <v/>
      </c>
      <c r="P124" s="123" t="str">
        <f t="shared" si="130"/>
        <v/>
      </c>
      <c r="Q124" s="123" t="str">
        <f t="shared" si="131"/>
        <v/>
      </c>
      <c r="R124" s="123" t="str">
        <f t="shared" si="132"/>
        <v/>
      </c>
      <c r="S124" s="123" t="str">
        <f t="shared" si="133"/>
        <v/>
      </c>
      <c r="T124" s="123" t="str">
        <f t="shared" si="134"/>
        <v/>
      </c>
      <c r="U124" s="123" t="str">
        <f t="shared" si="135"/>
        <v/>
      </c>
      <c r="V124" s="123" t="str">
        <f t="shared" si="136"/>
        <v/>
      </c>
      <c r="W124" s="19" t="str">
        <f t="shared" si="137"/>
        <v/>
      </c>
      <c r="X124" s="19" t="str">
        <f t="shared" si="138"/>
        <v/>
      </c>
      <c r="Y124" s="19" t="str">
        <f t="shared" si="139"/>
        <v/>
      </c>
      <c r="Z124" s="19" t="str">
        <f t="shared" si="140"/>
        <v/>
      </c>
      <c r="AA124" s="19" t="str">
        <f t="shared" si="141"/>
        <v/>
      </c>
      <c r="AB124" s="19" t="str">
        <f t="shared" si="142"/>
        <v/>
      </c>
      <c r="AC124" s="19" t="str">
        <f t="shared" si="143"/>
        <v/>
      </c>
      <c r="AD124" s="19" t="str">
        <f t="shared" si="144"/>
        <v/>
      </c>
      <c r="AE124" s="19" t="str">
        <f t="shared" si="145"/>
        <v/>
      </c>
      <c r="AF124" s="19" t="str">
        <f t="shared" si="146"/>
        <v/>
      </c>
      <c r="AG124" s="123" t="str">
        <f t="shared" si="147"/>
        <v/>
      </c>
      <c r="AH124" s="123" t="str">
        <f t="shared" si="148"/>
        <v/>
      </c>
      <c r="AI124" s="123" t="str">
        <f t="shared" si="149"/>
        <v/>
      </c>
      <c r="AJ124" s="123" t="str">
        <f t="shared" si="150"/>
        <v/>
      </c>
      <c r="AK124" s="123" t="str">
        <f t="shared" si="151"/>
        <v/>
      </c>
      <c r="AL124" s="123" t="str">
        <f t="shared" si="152"/>
        <v/>
      </c>
      <c r="AM124" s="123" t="str">
        <f t="shared" si="153"/>
        <v/>
      </c>
      <c r="AN124" s="123" t="str">
        <f t="shared" si="154"/>
        <v/>
      </c>
      <c r="AO124" s="123" t="str">
        <f t="shared" si="155"/>
        <v/>
      </c>
      <c r="AP124" s="123" t="str">
        <f t="shared" si="156"/>
        <v/>
      </c>
      <c r="AQ124" s="131" t="str">
        <f t="shared" si="157"/>
        <v/>
      </c>
      <c r="AR124" s="123" t="str">
        <f t="shared" si="158"/>
        <v/>
      </c>
      <c r="AS124" s="1002"/>
      <c r="AT124" s="446"/>
      <c r="AU124" s="132" t="str">
        <f t="shared" si="159"/>
        <v/>
      </c>
      <c r="AV124" s="17"/>
      <c r="AW124" s="125" t="str">
        <f t="shared" si="160"/>
        <v/>
      </c>
      <c r="AX124" s="16"/>
      <c r="AY124" s="26"/>
    </row>
    <row r="125" spans="2:51">
      <c r="B125" s="512"/>
      <c r="C125" s="125"/>
      <c r="D125" s="124" t="str">
        <f t="shared" si="118"/>
        <v/>
      </c>
      <c r="E125" s="124" t="str">
        <f t="shared" si="119"/>
        <v/>
      </c>
      <c r="F125" s="125" t="str">
        <f t="shared" si="120"/>
        <v/>
      </c>
      <c r="G125" s="123" t="str">
        <f t="shared" si="121"/>
        <v/>
      </c>
      <c r="H125" s="123" t="str">
        <f t="shared" si="122"/>
        <v/>
      </c>
      <c r="I125" s="124" t="str">
        <f t="shared" si="123"/>
        <v/>
      </c>
      <c r="J125" s="124" t="str">
        <f t="shared" si="124"/>
        <v/>
      </c>
      <c r="K125" s="125" t="str">
        <f t="shared" si="125"/>
        <v/>
      </c>
      <c r="L125" s="125" t="str">
        <f t="shared" si="126"/>
        <v/>
      </c>
      <c r="M125" s="123" t="str">
        <f t="shared" si="127"/>
        <v/>
      </c>
      <c r="N125" s="123" t="str">
        <f t="shared" si="128"/>
        <v/>
      </c>
      <c r="O125" s="123" t="str">
        <f t="shared" si="129"/>
        <v/>
      </c>
      <c r="P125" s="123" t="str">
        <f t="shared" si="130"/>
        <v/>
      </c>
      <c r="Q125" s="123" t="str">
        <f t="shared" si="131"/>
        <v/>
      </c>
      <c r="R125" s="123" t="str">
        <f t="shared" si="132"/>
        <v/>
      </c>
      <c r="S125" s="123" t="str">
        <f t="shared" si="133"/>
        <v/>
      </c>
      <c r="T125" s="123" t="str">
        <f t="shared" si="134"/>
        <v/>
      </c>
      <c r="U125" s="123" t="str">
        <f t="shared" si="135"/>
        <v/>
      </c>
      <c r="V125" s="123" t="str">
        <f t="shared" si="136"/>
        <v/>
      </c>
      <c r="W125" s="19" t="str">
        <f t="shared" si="137"/>
        <v/>
      </c>
      <c r="X125" s="19" t="str">
        <f t="shared" si="138"/>
        <v/>
      </c>
      <c r="Y125" s="19" t="str">
        <f t="shared" si="139"/>
        <v/>
      </c>
      <c r="Z125" s="19" t="str">
        <f t="shared" si="140"/>
        <v/>
      </c>
      <c r="AA125" s="19" t="str">
        <f t="shared" si="141"/>
        <v/>
      </c>
      <c r="AB125" s="19" t="str">
        <f t="shared" si="142"/>
        <v/>
      </c>
      <c r="AC125" s="19" t="str">
        <f t="shared" si="143"/>
        <v/>
      </c>
      <c r="AD125" s="19" t="str">
        <f t="shared" si="144"/>
        <v/>
      </c>
      <c r="AE125" s="19" t="str">
        <f t="shared" si="145"/>
        <v/>
      </c>
      <c r="AF125" s="19" t="str">
        <f t="shared" si="146"/>
        <v/>
      </c>
      <c r="AG125" s="123" t="str">
        <f t="shared" si="147"/>
        <v/>
      </c>
      <c r="AH125" s="123" t="str">
        <f t="shared" si="148"/>
        <v/>
      </c>
      <c r="AI125" s="123" t="str">
        <f t="shared" si="149"/>
        <v/>
      </c>
      <c r="AJ125" s="123" t="str">
        <f t="shared" si="150"/>
        <v/>
      </c>
      <c r="AK125" s="123" t="str">
        <f t="shared" si="151"/>
        <v/>
      </c>
      <c r="AL125" s="123" t="str">
        <f t="shared" si="152"/>
        <v/>
      </c>
      <c r="AM125" s="123" t="str">
        <f t="shared" si="153"/>
        <v/>
      </c>
      <c r="AN125" s="123" t="str">
        <f t="shared" si="154"/>
        <v/>
      </c>
      <c r="AO125" s="123" t="str">
        <f t="shared" si="155"/>
        <v/>
      </c>
      <c r="AP125" s="123" t="str">
        <f t="shared" si="156"/>
        <v/>
      </c>
      <c r="AQ125" s="131" t="str">
        <f t="shared" si="157"/>
        <v/>
      </c>
      <c r="AR125" s="123" t="str">
        <f t="shared" si="158"/>
        <v/>
      </c>
      <c r="AS125" s="1002"/>
      <c r="AT125" s="446"/>
      <c r="AU125" s="132" t="str">
        <f t="shared" si="159"/>
        <v/>
      </c>
      <c r="AV125" s="17"/>
      <c r="AW125" s="125" t="str">
        <f t="shared" si="160"/>
        <v/>
      </c>
      <c r="AX125" s="16"/>
      <c r="AY125" s="26"/>
    </row>
    <row r="126" spans="2:51">
      <c r="B126" s="512"/>
      <c r="C126" s="125"/>
      <c r="D126" s="124" t="str">
        <f t="shared" si="118"/>
        <v/>
      </c>
      <c r="E126" s="124" t="str">
        <f t="shared" si="119"/>
        <v/>
      </c>
      <c r="F126" s="125" t="str">
        <f t="shared" si="120"/>
        <v/>
      </c>
      <c r="G126" s="123" t="str">
        <f t="shared" si="121"/>
        <v/>
      </c>
      <c r="H126" s="123" t="str">
        <f t="shared" si="122"/>
        <v/>
      </c>
      <c r="I126" s="124" t="str">
        <f t="shared" si="123"/>
        <v/>
      </c>
      <c r="J126" s="124" t="str">
        <f t="shared" si="124"/>
        <v/>
      </c>
      <c r="K126" s="125" t="str">
        <f t="shared" si="125"/>
        <v/>
      </c>
      <c r="L126" s="125" t="str">
        <f t="shared" si="126"/>
        <v/>
      </c>
      <c r="M126" s="123" t="str">
        <f t="shared" si="127"/>
        <v/>
      </c>
      <c r="N126" s="123" t="str">
        <f t="shared" si="128"/>
        <v/>
      </c>
      <c r="O126" s="123" t="str">
        <f t="shared" si="129"/>
        <v/>
      </c>
      <c r="P126" s="123" t="str">
        <f t="shared" si="130"/>
        <v/>
      </c>
      <c r="Q126" s="123" t="str">
        <f t="shared" si="131"/>
        <v/>
      </c>
      <c r="R126" s="123" t="str">
        <f t="shared" si="132"/>
        <v/>
      </c>
      <c r="S126" s="123" t="str">
        <f t="shared" si="133"/>
        <v/>
      </c>
      <c r="T126" s="123" t="str">
        <f t="shared" si="134"/>
        <v/>
      </c>
      <c r="U126" s="123" t="str">
        <f t="shared" si="135"/>
        <v/>
      </c>
      <c r="V126" s="123" t="str">
        <f t="shared" si="136"/>
        <v/>
      </c>
      <c r="W126" s="19" t="str">
        <f t="shared" si="137"/>
        <v/>
      </c>
      <c r="X126" s="19" t="str">
        <f t="shared" si="138"/>
        <v/>
      </c>
      <c r="Y126" s="19" t="str">
        <f t="shared" si="139"/>
        <v/>
      </c>
      <c r="Z126" s="19" t="str">
        <f t="shared" si="140"/>
        <v/>
      </c>
      <c r="AA126" s="19" t="str">
        <f t="shared" si="141"/>
        <v/>
      </c>
      <c r="AB126" s="19" t="str">
        <f t="shared" si="142"/>
        <v/>
      </c>
      <c r="AC126" s="19" t="str">
        <f t="shared" si="143"/>
        <v/>
      </c>
      <c r="AD126" s="19" t="str">
        <f t="shared" si="144"/>
        <v/>
      </c>
      <c r="AE126" s="19" t="str">
        <f t="shared" si="145"/>
        <v/>
      </c>
      <c r="AF126" s="19" t="str">
        <f t="shared" si="146"/>
        <v/>
      </c>
      <c r="AG126" s="123" t="str">
        <f t="shared" si="147"/>
        <v/>
      </c>
      <c r="AH126" s="123" t="str">
        <f t="shared" si="148"/>
        <v/>
      </c>
      <c r="AI126" s="123" t="str">
        <f t="shared" si="149"/>
        <v/>
      </c>
      <c r="AJ126" s="123" t="str">
        <f t="shared" si="150"/>
        <v/>
      </c>
      <c r="AK126" s="123" t="str">
        <f t="shared" si="151"/>
        <v/>
      </c>
      <c r="AL126" s="123" t="str">
        <f t="shared" si="152"/>
        <v/>
      </c>
      <c r="AM126" s="123" t="str">
        <f t="shared" si="153"/>
        <v/>
      </c>
      <c r="AN126" s="123" t="str">
        <f t="shared" si="154"/>
        <v/>
      </c>
      <c r="AO126" s="123" t="str">
        <f t="shared" si="155"/>
        <v/>
      </c>
      <c r="AP126" s="123" t="str">
        <f t="shared" si="156"/>
        <v/>
      </c>
      <c r="AQ126" s="131" t="str">
        <f t="shared" si="157"/>
        <v/>
      </c>
      <c r="AR126" s="123" t="str">
        <f t="shared" si="158"/>
        <v/>
      </c>
      <c r="AS126" s="1002"/>
      <c r="AT126" s="446"/>
      <c r="AU126" s="132" t="str">
        <f t="shared" si="159"/>
        <v/>
      </c>
      <c r="AV126" s="17"/>
      <c r="AW126" s="125" t="str">
        <f t="shared" si="160"/>
        <v/>
      </c>
      <c r="AX126" s="16"/>
      <c r="AY126" s="26"/>
    </row>
    <row r="127" spans="2:51">
      <c r="B127" s="512"/>
      <c r="C127" s="125"/>
      <c r="D127" s="124" t="str">
        <f t="shared" si="118"/>
        <v/>
      </c>
      <c r="E127" s="124" t="str">
        <f t="shared" si="119"/>
        <v/>
      </c>
      <c r="F127" s="125" t="str">
        <f t="shared" si="120"/>
        <v/>
      </c>
      <c r="G127" s="123" t="str">
        <f t="shared" si="121"/>
        <v/>
      </c>
      <c r="H127" s="123" t="str">
        <f t="shared" si="122"/>
        <v/>
      </c>
      <c r="I127" s="124" t="str">
        <f t="shared" si="123"/>
        <v/>
      </c>
      <c r="J127" s="124" t="str">
        <f t="shared" si="124"/>
        <v/>
      </c>
      <c r="K127" s="125" t="str">
        <f t="shared" si="125"/>
        <v/>
      </c>
      <c r="L127" s="125" t="str">
        <f t="shared" si="126"/>
        <v/>
      </c>
      <c r="M127" s="123" t="str">
        <f t="shared" si="127"/>
        <v/>
      </c>
      <c r="N127" s="123" t="str">
        <f t="shared" si="128"/>
        <v/>
      </c>
      <c r="O127" s="123" t="str">
        <f t="shared" si="129"/>
        <v/>
      </c>
      <c r="P127" s="123" t="str">
        <f t="shared" si="130"/>
        <v/>
      </c>
      <c r="Q127" s="123" t="str">
        <f t="shared" si="131"/>
        <v/>
      </c>
      <c r="R127" s="123" t="str">
        <f t="shared" si="132"/>
        <v/>
      </c>
      <c r="S127" s="123" t="str">
        <f t="shared" si="133"/>
        <v/>
      </c>
      <c r="T127" s="123" t="str">
        <f t="shared" si="134"/>
        <v/>
      </c>
      <c r="U127" s="123" t="str">
        <f t="shared" si="135"/>
        <v/>
      </c>
      <c r="V127" s="123" t="str">
        <f t="shared" si="136"/>
        <v/>
      </c>
      <c r="W127" s="19" t="str">
        <f t="shared" si="137"/>
        <v/>
      </c>
      <c r="X127" s="19" t="str">
        <f t="shared" si="138"/>
        <v/>
      </c>
      <c r="Y127" s="19" t="str">
        <f t="shared" si="139"/>
        <v/>
      </c>
      <c r="Z127" s="19" t="str">
        <f t="shared" si="140"/>
        <v/>
      </c>
      <c r="AA127" s="19" t="str">
        <f t="shared" si="141"/>
        <v/>
      </c>
      <c r="AB127" s="19" t="str">
        <f t="shared" si="142"/>
        <v/>
      </c>
      <c r="AC127" s="19" t="str">
        <f t="shared" si="143"/>
        <v/>
      </c>
      <c r="AD127" s="19" t="str">
        <f t="shared" si="144"/>
        <v/>
      </c>
      <c r="AE127" s="19" t="str">
        <f t="shared" si="145"/>
        <v/>
      </c>
      <c r="AF127" s="19" t="str">
        <f t="shared" si="146"/>
        <v/>
      </c>
      <c r="AG127" s="123" t="str">
        <f t="shared" si="147"/>
        <v/>
      </c>
      <c r="AH127" s="123" t="str">
        <f t="shared" si="148"/>
        <v/>
      </c>
      <c r="AI127" s="123" t="str">
        <f t="shared" si="149"/>
        <v/>
      </c>
      <c r="AJ127" s="123" t="str">
        <f t="shared" si="150"/>
        <v/>
      </c>
      <c r="AK127" s="123" t="str">
        <f t="shared" si="151"/>
        <v/>
      </c>
      <c r="AL127" s="123" t="str">
        <f t="shared" si="152"/>
        <v/>
      </c>
      <c r="AM127" s="123" t="str">
        <f t="shared" si="153"/>
        <v/>
      </c>
      <c r="AN127" s="123" t="str">
        <f t="shared" si="154"/>
        <v/>
      </c>
      <c r="AO127" s="123" t="str">
        <f t="shared" si="155"/>
        <v/>
      </c>
      <c r="AP127" s="123" t="str">
        <f t="shared" si="156"/>
        <v/>
      </c>
      <c r="AQ127" s="131" t="str">
        <f t="shared" si="157"/>
        <v/>
      </c>
      <c r="AR127" s="123" t="str">
        <f t="shared" si="158"/>
        <v/>
      </c>
      <c r="AS127" s="1002"/>
      <c r="AT127" s="446"/>
      <c r="AU127" s="132" t="str">
        <f t="shared" si="159"/>
        <v/>
      </c>
      <c r="AV127" s="17"/>
      <c r="AW127" s="125" t="str">
        <f t="shared" si="160"/>
        <v/>
      </c>
      <c r="AX127" s="16"/>
      <c r="AY127" s="26"/>
    </row>
    <row r="128" spans="2:51">
      <c r="B128" s="512"/>
      <c r="C128" s="125"/>
      <c r="D128" s="124" t="str">
        <f t="shared" si="118"/>
        <v/>
      </c>
      <c r="E128" s="124" t="str">
        <f t="shared" si="119"/>
        <v/>
      </c>
      <c r="F128" s="125" t="str">
        <f t="shared" si="120"/>
        <v/>
      </c>
      <c r="G128" s="123" t="str">
        <f t="shared" si="121"/>
        <v/>
      </c>
      <c r="H128" s="123" t="str">
        <f t="shared" si="122"/>
        <v/>
      </c>
      <c r="I128" s="124" t="str">
        <f t="shared" si="123"/>
        <v/>
      </c>
      <c r="J128" s="124" t="str">
        <f t="shared" si="124"/>
        <v/>
      </c>
      <c r="K128" s="125" t="str">
        <f t="shared" si="125"/>
        <v/>
      </c>
      <c r="L128" s="125" t="str">
        <f t="shared" si="126"/>
        <v/>
      </c>
      <c r="M128" s="123" t="str">
        <f t="shared" si="127"/>
        <v/>
      </c>
      <c r="N128" s="123" t="str">
        <f t="shared" si="128"/>
        <v/>
      </c>
      <c r="O128" s="123" t="str">
        <f t="shared" si="129"/>
        <v/>
      </c>
      <c r="P128" s="123" t="str">
        <f t="shared" si="130"/>
        <v/>
      </c>
      <c r="Q128" s="123" t="str">
        <f t="shared" si="131"/>
        <v/>
      </c>
      <c r="R128" s="123" t="str">
        <f t="shared" si="132"/>
        <v/>
      </c>
      <c r="S128" s="123" t="str">
        <f t="shared" si="133"/>
        <v/>
      </c>
      <c r="T128" s="123" t="str">
        <f t="shared" si="134"/>
        <v/>
      </c>
      <c r="U128" s="123" t="str">
        <f t="shared" si="135"/>
        <v/>
      </c>
      <c r="V128" s="123" t="str">
        <f t="shared" si="136"/>
        <v/>
      </c>
      <c r="W128" s="19" t="str">
        <f t="shared" si="137"/>
        <v/>
      </c>
      <c r="X128" s="19" t="str">
        <f t="shared" si="138"/>
        <v/>
      </c>
      <c r="Y128" s="19" t="str">
        <f t="shared" si="139"/>
        <v/>
      </c>
      <c r="Z128" s="19" t="str">
        <f t="shared" si="140"/>
        <v/>
      </c>
      <c r="AA128" s="19" t="str">
        <f t="shared" si="141"/>
        <v/>
      </c>
      <c r="AB128" s="19" t="str">
        <f t="shared" si="142"/>
        <v/>
      </c>
      <c r="AC128" s="19" t="str">
        <f t="shared" si="143"/>
        <v/>
      </c>
      <c r="AD128" s="19" t="str">
        <f t="shared" si="144"/>
        <v/>
      </c>
      <c r="AE128" s="19" t="str">
        <f t="shared" si="145"/>
        <v/>
      </c>
      <c r="AF128" s="19" t="str">
        <f t="shared" si="146"/>
        <v/>
      </c>
      <c r="AG128" s="123" t="str">
        <f t="shared" si="147"/>
        <v/>
      </c>
      <c r="AH128" s="123" t="str">
        <f t="shared" si="148"/>
        <v/>
      </c>
      <c r="AI128" s="123" t="str">
        <f t="shared" si="149"/>
        <v/>
      </c>
      <c r="AJ128" s="123" t="str">
        <f t="shared" si="150"/>
        <v/>
      </c>
      <c r="AK128" s="123" t="str">
        <f t="shared" si="151"/>
        <v/>
      </c>
      <c r="AL128" s="123" t="str">
        <f t="shared" si="152"/>
        <v/>
      </c>
      <c r="AM128" s="123" t="str">
        <f t="shared" si="153"/>
        <v/>
      </c>
      <c r="AN128" s="123" t="str">
        <f t="shared" si="154"/>
        <v/>
      </c>
      <c r="AO128" s="123" t="str">
        <f t="shared" si="155"/>
        <v/>
      </c>
      <c r="AP128" s="123" t="str">
        <f t="shared" si="156"/>
        <v/>
      </c>
      <c r="AQ128" s="131" t="str">
        <f t="shared" si="157"/>
        <v/>
      </c>
      <c r="AR128" s="123" t="str">
        <f t="shared" si="158"/>
        <v/>
      </c>
      <c r="AS128" s="1002"/>
      <c r="AT128" s="446"/>
      <c r="AU128" s="132" t="str">
        <f t="shared" si="159"/>
        <v/>
      </c>
      <c r="AV128" s="17"/>
      <c r="AW128" s="125" t="str">
        <f t="shared" si="160"/>
        <v/>
      </c>
      <c r="AX128" s="16"/>
      <c r="AY128" s="26"/>
    </row>
    <row r="129" spans="2:51">
      <c r="B129" s="512"/>
      <c r="C129" s="125"/>
      <c r="D129" s="124" t="str">
        <f t="shared" si="118"/>
        <v/>
      </c>
      <c r="E129" s="124" t="str">
        <f t="shared" si="119"/>
        <v/>
      </c>
      <c r="F129" s="125" t="str">
        <f t="shared" si="120"/>
        <v/>
      </c>
      <c r="G129" s="123" t="str">
        <f t="shared" si="121"/>
        <v/>
      </c>
      <c r="H129" s="123" t="str">
        <f t="shared" si="122"/>
        <v/>
      </c>
      <c r="I129" s="124" t="str">
        <f t="shared" si="123"/>
        <v/>
      </c>
      <c r="J129" s="124" t="str">
        <f t="shared" si="124"/>
        <v/>
      </c>
      <c r="K129" s="125" t="str">
        <f t="shared" si="125"/>
        <v/>
      </c>
      <c r="L129" s="125" t="str">
        <f t="shared" si="126"/>
        <v/>
      </c>
      <c r="M129" s="123" t="str">
        <f t="shared" si="127"/>
        <v/>
      </c>
      <c r="N129" s="123" t="str">
        <f t="shared" si="128"/>
        <v/>
      </c>
      <c r="O129" s="123" t="str">
        <f t="shared" si="129"/>
        <v/>
      </c>
      <c r="P129" s="123" t="str">
        <f t="shared" si="130"/>
        <v/>
      </c>
      <c r="Q129" s="123" t="str">
        <f t="shared" si="131"/>
        <v/>
      </c>
      <c r="R129" s="123" t="str">
        <f t="shared" si="132"/>
        <v/>
      </c>
      <c r="S129" s="123" t="str">
        <f t="shared" si="133"/>
        <v/>
      </c>
      <c r="T129" s="123" t="str">
        <f t="shared" si="134"/>
        <v/>
      </c>
      <c r="U129" s="123" t="str">
        <f t="shared" si="135"/>
        <v/>
      </c>
      <c r="V129" s="123" t="str">
        <f t="shared" si="136"/>
        <v/>
      </c>
      <c r="W129" s="19" t="str">
        <f t="shared" si="137"/>
        <v/>
      </c>
      <c r="X129" s="19" t="str">
        <f t="shared" si="138"/>
        <v/>
      </c>
      <c r="Y129" s="19" t="str">
        <f t="shared" si="139"/>
        <v/>
      </c>
      <c r="Z129" s="19" t="str">
        <f t="shared" si="140"/>
        <v/>
      </c>
      <c r="AA129" s="19" t="str">
        <f t="shared" si="141"/>
        <v/>
      </c>
      <c r="AB129" s="19" t="str">
        <f t="shared" si="142"/>
        <v/>
      </c>
      <c r="AC129" s="19" t="str">
        <f t="shared" si="143"/>
        <v/>
      </c>
      <c r="AD129" s="19" t="str">
        <f t="shared" si="144"/>
        <v/>
      </c>
      <c r="AE129" s="19" t="str">
        <f t="shared" si="145"/>
        <v/>
      </c>
      <c r="AF129" s="19" t="str">
        <f t="shared" si="146"/>
        <v/>
      </c>
      <c r="AG129" s="123" t="str">
        <f t="shared" si="147"/>
        <v/>
      </c>
      <c r="AH129" s="123" t="str">
        <f t="shared" si="148"/>
        <v/>
      </c>
      <c r="AI129" s="123" t="str">
        <f t="shared" si="149"/>
        <v/>
      </c>
      <c r="AJ129" s="123" t="str">
        <f t="shared" si="150"/>
        <v/>
      </c>
      <c r="AK129" s="123" t="str">
        <f t="shared" si="151"/>
        <v/>
      </c>
      <c r="AL129" s="123" t="str">
        <f t="shared" si="152"/>
        <v/>
      </c>
      <c r="AM129" s="123" t="str">
        <f t="shared" si="153"/>
        <v/>
      </c>
      <c r="AN129" s="123" t="str">
        <f t="shared" si="154"/>
        <v/>
      </c>
      <c r="AO129" s="123" t="str">
        <f t="shared" si="155"/>
        <v/>
      </c>
      <c r="AP129" s="123" t="str">
        <f t="shared" si="156"/>
        <v/>
      </c>
      <c r="AQ129" s="131" t="str">
        <f t="shared" si="157"/>
        <v/>
      </c>
      <c r="AR129" s="123" t="str">
        <f t="shared" si="158"/>
        <v/>
      </c>
      <c r="AS129" s="1002"/>
      <c r="AT129" s="446"/>
      <c r="AU129" s="132" t="str">
        <f t="shared" si="159"/>
        <v/>
      </c>
      <c r="AV129" s="17"/>
      <c r="AW129" s="125" t="str">
        <f t="shared" si="160"/>
        <v/>
      </c>
      <c r="AX129" s="16"/>
      <c r="AY129" s="26"/>
    </row>
    <row r="130" spans="2:51">
      <c r="B130" s="512"/>
      <c r="C130" s="125"/>
      <c r="D130" s="124" t="str">
        <f t="shared" si="118"/>
        <v/>
      </c>
      <c r="E130" s="124" t="str">
        <f t="shared" si="119"/>
        <v/>
      </c>
      <c r="F130" s="125" t="str">
        <f t="shared" si="120"/>
        <v/>
      </c>
      <c r="G130" s="123" t="str">
        <f t="shared" si="121"/>
        <v/>
      </c>
      <c r="H130" s="123" t="str">
        <f t="shared" si="122"/>
        <v/>
      </c>
      <c r="I130" s="124" t="str">
        <f t="shared" si="123"/>
        <v/>
      </c>
      <c r="J130" s="124" t="str">
        <f t="shared" si="124"/>
        <v/>
      </c>
      <c r="K130" s="125" t="str">
        <f t="shared" si="125"/>
        <v/>
      </c>
      <c r="L130" s="125" t="str">
        <f t="shared" si="126"/>
        <v/>
      </c>
      <c r="M130" s="123" t="str">
        <f t="shared" si="127"/>
        <v/>
      </c>
      <c r="N130" s="123" t="str">
        <f t="shared" si="128"/>
        <v/>
      </c>
      <c r="O130" s="123" t="str">
        <f t="shared" si="129"/>
        <v/>
      </c>
      <c r="P130" s="123" t="str">
        <f t="shared" si="130"/>
        <v/>
      </c>
      <c r="Q130" s="123" t="str">
        <f t="shared" si="131"/>
        <v/>
      </c>
      <c r="R130" s="123" t="str">
        <f t="shared" si="132"/>
        <v/>
      </c>
      <c r="S130" s="123" t="str">
        <f t="shared" si="133"/>
        <v/>
      </c>
      <c r="T130" s="123" t="str">
        <f t="shared" si="134"/>
        <v/>
      </c>
      <c r="U130" s="123" t="str">
        <f t="shared" si="135"/>
        <v/>
      </c>
      <c r="V130" s="123" t="str">
        <f t="shared" si="136"/>
        <v/>
      </c>
      <c r="W130" s="19" t="str">
        <f t="shared" si="137"/>
        <v/>
      </c>
      <c r="X130" s="19" t="str">
        <f t="shared" si="138"/>
        <v/>
      </c>
      <c r="Y130" s="19" t="str">
        <f t="shared" si="139"/>
        <v/>
      </c>
      <c r="Z130" s="19" t="str">
        <f t="shared" si="140"/>
        <v/>
      </c>
      <c r="AA130" s="19" t="str">
        <f t="shared" si="141"/>
        <v/>
      </c>
      <c r="AB130" s="19" t="str">
        <f t="shared" si="142"/>
        <v/>
      </c>
      <c r="AC130" s="19" t="str">
        <f t="shared" si="143"/>
        <v/>
      </c>
      <c r="AD130" s="19" t="str">
        <f t="shared" si="144"/>
        <v/>
      </c>
      <c r="AE130" s="19" t="str">
        <f t="shared" si="145"/>
        <v/>
      </c>
      <c r="AF130" s="19" t="str">
        <f t="shared" si="146"/>
        <v/>
      </c>
      <c r="AG130" s="123" t="str">
        <f t="shared" si="147"/>
        <v/>
      </c>
      <c r="AH130" s="123" t="str">
        <f t="shared" si="148"/>
        <v/>
      </c>
      <c r="AI130" s="123" t="str">
        <f t="shared" si="149"/>
        <v/>
      </c>
      <c r="AJ130" s="123" t="str">
        <f t="shared" si="150"/>
        <v/>
      </c>
      <c r="AK130" s="123" t="str">
        <f t="shared" si="151"/>
        <v/>
      </c>
      <c r="AL130" s="123" t="str">
        <f t="shared" si="152"/>
        <v/>
      </c>
      <c r="AM130" s="123" t="str">
        <f t="shared" si="153"/>
        <v/>
      </c>
      <c r="AN130" s="123" t="str">
        <f t="shared" si="154"/>
        <v/>
      </c>
      <c r="AO130" s="123" t="str">
        <f t="shared" si="155"/>
        <v/>
      </c>
      <c r="AP130" s="123" t="str">
        <f t="shared" si="156"/>
        <v/>
      </c>
      <c r="AQ130" s="131" t="str">
        <f t="shared" si="157"/>
        <v/>
      </c>
      <c r="AR130" s="123" t="str">
        <f t="shared" si="158"/>
        <v/>
      </c>
      <c r="AS130" s="1002"/>
      <c r="AT130" s="446"/>
      <c r="AU130" s="132" t="str">
        <f t="shared" si="159"/>
        <v/>
      </c>
      <c r="AV130" s="17"/>
      <c r="AW130" s="125" t="str">
        <f t="shared" si="160"/>
        <v/>
      </c>
      <c r="AX130" s="16"/>
      <c r="AY130" s="26"/>
    </row>
    <row r="131" spans="2:51">
      <c r="B131" s="512"/>
      <c r="C131" s="125"/>
      <c r="D131" s="124" t="str">
        <f t="shared" si="118"/>
        <v/>
      </c>
      <c r="E131" s="124" t="str">
        <f t="shared" si="119"/>
        <v/>
      </c>
      <c r="F131" s="125" t="str">
        <f t="shared" si="120"/>
        <v/>
      </c>
      <c r="G131" s="123" t="str">
        <f t="shared" si="121"/>
        <v/>
      </c>
      <c r="H131" s="123" t="str">
        <f t="shared" si="122"/>
        <v/>
      </c>
      <c r="I131" s="124" t="str">
        <f t="shared" si="123"/>
        <v/>
      </c>
      <c r="J131" s="124" t="str">
        <f t="shared" si="124"/>
        <v/>
      </c>
      <c r="K131" s="125" t="str">
        <f t="shared" si="125"/>
        <v/>
      </c>
      <c r="L131" s="125" t="str">
        <f t="shared" si="126"/>
        <v/>
      </c>
      <c r="M131" s="123" t="str">
        <f t="shared" si="127"/>
        <v/>
      </c>
      <c r="N131" s="123" t="str">
        <f t="shared" si="128"/>
        <v/>
      </c>
      <c r="O131" s="123" t="str">
        <f t="shared" si="129"/>
        <v/>
      </c>
      <c r="P131" s="123" t="str">
        <f t="shared" si="130"/>
        <v/>
      </c>
      <c r="Q131" s="123" t="str">
        <f t="shared" si="131"/>
        <v/>
      </c>
      <c r="R131" s="123" t="str">
        <f t="shared" si="132"/>
        <v/>
      </c>
      <c r="S131" s="123" t="str">
        <f t="shared" si="133"/>
        <v/>
      </c>
      <c r="T131" s="123" t="str">
        <f t="shared" si="134"/>
        <v/>
      </c>
      <c r="U131" s="123" t="str">
        <f t="shared" si="135"/>
        <v/>
      </c>
      <c r="V131" s="123" t="str">
        <f t="shared" si="136"/>
        <v/>
      </c>
      <c r="W131" s="19" t="str">
        <f t="shared" si="137"/>
        <v/>
      </c>
      <c r="X131" s="19" t="str">
        <f t="shared" si="138"/>
        <v/>
      </c>
      <c r="Y131" s="19" t="str">
        <f t="shared" si="139"/>
        <v/>
      </c>
      <c r="Z131" s="19" t="str">
        <f t="shared" si="140"/>
        <v/>
      </c>
      <c r="AA131" s="19" t="str">
        <f t="shared" si="141"/>
        <v/>
      </c>
      <c r="AB131" s="19" t="str">
        <f t="shared" si="142"/>
        <v/>
      </c>
      <c r="AC131" s="19" t="str">
        <f t="shared" si="143"/>
        <v/>
      </c>
      <c r="AD131" s="19" t="str">
        <f t="shared" si="144"/>
        <v/>
      </c>
      <c r="AE131" s="19" t="str">
        <f t="shared" si="145"/>
        <v/>
      </c>
      <c r="AF131" s="19" t="str">
        <f t="shared" si="146"/>
        <v/>
      </c>
      <c r="AG131" s="123" t="str">
        <f t="shared" si="147"/>
        <v/>
      </c>
      <c r="AH131" s="123" t="str">
        <f t="shared" si="148"/>
        <v/>
      </c>
      <c r="AI131" s="123" t="str">
        <f t="shared" si="149"/>
        <v/>
      </c>
      <c r="AJ131" s="123" t="str">
        <f t="shared" si="150"/>
        <v/>
      </c>
      <c r="AK131" s="123" t="str">
        <f t="shared" si="151"/>
        <v/>
      </c>
      <c r="AL131" s="123" t="str">
        <f t="shared" si="152"/>
        <v/>
      </c>
      <c r="AM131" s="123" t="str">
        <f t="shared" si="153"/>
        <v/>
      </c>
      <c r="AN131" s="123" t="str">
        <f t="shared" si="154"/>
        <v/>
      </c>
      <c r="AO131" s="123" t="str">
        <f t="shared" si="155"/>
        <v/>
      </c>
      <c r="AP131" s="123" t="str">
        <f t="shared" si="156"/>
        <v/>
      </c>
      <c r="AQ131" s="131" t="str">
        <f t="shared" si="157"/>
        <v/>
      </c>
      <c r="AR131" s="123" t="str">
        <f t="shared" si="158"/>
        <v/>
      </c>
      <c r="AS131" s="1002"/>
      <c r="AT131" s="446"/>
      <c r="AU131" s="132" t="str">
        <f t="shared" si="159"/>
        <v/>
      </c>
      <c r="AV131" s="17"/>
      <c r="AW131" s="125" t="str">
        <f t="shared" si="160"/>
        <v/>
      </c>
      <c r="AX131" s="16"/>
      <c r="AY131" s="26"/>
    </row>
    <row r="132" spans="2:51">
      <c r="B132" s="512"/>
      <c r="C132" s="125"/>
      <c r="D132" s="124" t="str">
        <f t="shared" si="118"/>
        <v/>
      </c>
      <c r="E132" s="124" t="str">
        <f t="shared" si="119"/>
        <v/>
      </c>
      <c r="F132" s="125" t="str">
        <f t="shared" si="120"/>
        <v/>
      </c>
      <c r="G132" s="123" t="str">
        <f t="shared" si="121"/>
        <v/>
      </c>
      <c r="H132" s="123" t="str">
        <f t="shared" si="122"/>
        <v/>
      </c>
      <c r="I132" s="124" t="str">
        <f t="shared" si="123"/>
        <v/>
      </c>
      <c r="J132" s="124" t="str">
        <f t="shared" si="124"/>
        <v/>
      </c>
      <c r="K132" s="125" t="str">
        <f t="shared" si="125"/>
        <v/>
      </c>
      <c r="L132" s="125" t="str">
        <f t="shared" si="126"/>
        <v/>
      </c>
      <c r="M132" s="123" t="str">
        <f t="shared" si="127"/>
        <v/>
      </c>
      <c r="N132" s="123" t="str">
        <f t="shared" si="128"/>
        <v/>
      </c>
      <c r="O132" s="123" t="str">
        <f t="shared" si="129"/>
        <v/>
      </c>
      <c r="P132" s="123" t="str">
        <f t="shared" si="130"/>
        <v/>
      </c>
      <c r="Q132" s="123" t="str">
        <f t="shared" si="131"/>
        <v/>
      </c>
      <c r="R132" s="123" t="str">
        <f t="shared" si="132"/>
        <v/>
      </c>
      <c r="S132" s="123" t="str">
        <f t="shared" si="133"/>
        <v/>
      </c>
      <c r="T132" s="123" t="str">
        <f t="shared" si="134"/>
        <v/>
      </c>
      <c r="U132" s="123" t="str">
        <f t="shared" si="135"/>
        <v/>
      </c>
      <c r="V132" s="123" t="str">
        <f t="shared" si="136"/>
        <v/>
      </c>
      <c r="W132" s="19" t="str">
        <f t="shared" si="137"/>
        <v/>
      </c>
      <c r="X132" s="19" t="str">
        <f t="shared" si="138"/>
        <v/>
      </c>
      <c r="Y132" s="19" t="str">
        <f t="shared" si="139"/>
        <v/>
      </c>
      <c r="Z132" s="19" t="str">
        <f t="shared" si="140"/>
        <v/>
      </c>
      <c r="AA132" s="19" t="str">
        <f t="shared" si="141"/>
        <v/>
      </c>
      <c r="AB132" s="19" t="str">
        <f t="shared" si="142"/>
        <v/>
      </c>
      <c r="AC132" s="19" t="str">
        <f t="shared" si="143"/>
        <v/>
      </c>
      <c r="AD132" s="19" t="str">
        <f t="shared" si="144"/>
        <v/>
      </c>
      <c r="AE132" s="19" t="str">
        <f t="shared" si="145"/>
        <v/>
      </c>
      <c r="AF132" s="19" t="str">
        <f t="shared" si="146"/>
        <v/>
      </c>
      <c r="AG132" s="123" t="str">
        <f t="shared" si="147"/>
        <v/>
      </c>
      <c r="AH132" s="123" t="str">
        <f t="shared" si="148"/>
        <v/>
      </c>
      <c r="AI132" s="123" t="str">
        <f t="shared" si="149"/>
        <v/>
      </c>
      <c r="AJ132" s="123" t="str">
        <f t="shared" si="150"/>
        <v/>
      </c>
      <c r="AK132" s="123" t="str">
        <f t="shared" si="151"/>
        <v/>
      </c>
      <c r="AL132" s="123" t="str">
        <f t="shared" si="152"/>
        <v/>
      </c>
      <c r="AM132" s="123" t="str">
        <f t="shared" si="153"/>
        <v/>
      </c>
      <c r="AN132" s="123" t="str">
        <f t="shared" si="154"/>
        <v/>
      </c>
      <c r="AO132" s="123" t="str">
        <f t="shared" si="155"/>
        <v/>
      </c>
      <c r="AP132" s="123" t="str">
        <f t="shared" si="156"/>
        <v/>
      </c>
      <c r="AQ132" s="131" t="str">
        <f t="shared" si="157"/>
        <v/>
      </c>
      <c r="AR132" s="123" t="str">
        <f t="shared" si="158"/>
        <v/>
      </c>
      <c r="AS132" s="1002"/>
      <c r="AT132" s="446"/>
      <c r="AU132" s="132" t="str">
        <f t="shared" si="159"/>
        <v/>
      </c>
      <c r="AV132" s="17"/>
      <c r="AW132" s="125" t="str">
        <f t="shared" si="160"/>
        <v/>
      </c>
      <c r="AX132" s="16"/>
      <c r="AY132" s="26"/>
    </row>
    <row r="133" spans="2:51">
      <c r="B133" s="512"/>
      <c r="C133" s="125"/>
      <c r="D133" s="124" t="str">
        <f t="shared" si="118"/>
        <v/>
      </c>
      <c r="E133" s="124" t="str">
        <f t="shared" si="119"/>
        <v/>
      </c>
      <c r="F133" s="125" t="str">
        <f t="shared" si="120"/>
        <v/>
      </c>
      <c r="G133" s="123" t="str">
        <f t="shared" si="121"/>
        <v/>
      </c>
      <c r="H133" s="123" t="str">
        <f t="shared" si="122"/>
        <v/>
      </c>
      <c r="I133" s="124" t="str">
        <f t="shared" si="123"/>
        <v/>
      </c>
      <c r="J133" s="124" t="str">
        <f t="shared" si="124"/>
        <v/>
      </c>
      <c r="K133" s="125" t="str">
        <f t="shared" si="125"/>
        <v/>
      </c>
      <c r="L133" s="125" t="str">
        <f t="shared" si="126"/>
        <v/>
      </c>
      <c r="M133" s="123" t="str">
        <f t="shared" si="127"/>
        <v/>
      </c>
      <c r="N133" s="123" t="str">
        <f t="shared" si="128"/>
        <v/>
      </c>
      <c r="O133" s="123" t="str">
        <f t="shared" si="129"/>
        <v/>
      </c>
      <c r="P133" s="123" t="str">
        <f t="shared" si="130"/>
        <v/>
      </c>
      <c r="Q133" s="123" t="str">
        <f t="shared" si="131"/>
        <v/>
      </c>
      <c r="R133" s="123" t="str">
        <f t="shared" si="132"/>
        <v/>
      </c>
      <c r="S133" s="123" t="str">
        <f t="shared" si="133"/>
        <v/>
      </c>
      <c r="T133" s="123" t="str">
        <f t="shared" si="134"/>
        <v/>
      </c>
      <c r="U133" s="123" t="str">
        <f t="shared" si="135"/>
        <v/>
      </c>
      <c r="V133" s="123" t="str">
        <f t="shared" si="136"/>
        <v/>
      </c>
      <c r="W133" s="19" t="str">
        <f t="shared" si="137"/>
        <v/>
      </c>
      <c r="X133" s="19" t="str">
        <f t="shared" si="138"/>
        <v/>
      </c>
      <c r="Y133" s="19" t="str">
        <f t="shared" si="139"/>
        <v/>
      </c>
      <c r="Z133" s="19" t="str">
        <f t="shared" si="140"/>
        <v/>
      </c>
      <c r="AA133" s="19" t="str">
        <f t="shared" si="141"/>
        <v/>
      </c>
      <c r="AB133" s="19" t="str">
        <f t="shared" si="142"/>
        <v/>
      </c>
      <c r="AC133" s="19" t="str">
        <f t="shared" si="143"/>
        <v/>
      </c>
      <c r="AD133" s="19" t="str">
        <f t="shared" si="144"/>
        <v/>
      </c>
      <c r="AE133" s="19" t="str">
        <f t="shared" si="145"/>
        <v/>
      </c>
      <c r="AF133" s="19" t="str">
        <f t="shared" si="146"/>
        <v/>
      </c>
      <c r="AG133" s="123" t="str">
        <f t="shared" si="147"/>
        <v/>
      </c>
      <c r="AH133" s="123" t="str">
        <f t="shared" si="148"/>
        <v/>
      </c>
      <c r="AI133" s="123" t="str">
        <f t="shared" si="149"/>
        <v/>
      </c>
      <c r="AJ133" s="123" t="str">
        <f t="shared" si="150"/>
        <v/>
      </c>
      <c r="AK133" s="123" t="str">
        <f t="shared" si="151"/>
        <v/>
      </c>
      <c r="AL133" s="123" t="str">
        <f t="shared" si="152"/>
        <v/>
      </c>
      <c r="AM133" s="123" t="str">
        <f t="shared" si="153"/>
        <v/>
      </c>
      <c r="AN133" s="123" t="str">
        <f t="shared" si="154"/>
        <v/>
      </c>
      <c r="AO133" s="123" t="str">
        <f t="shared" si="155"/>
        <v/>
      </c>
      <c r="AP133" s="123" t="str">
        <f t="shared" si="156"/>
        <v/>
      </c>
      <c r="AQ133" s="131" t="str">
        <f t="shared" si="157"/>
        <v/>
      </c>
      <c r="AR133" s="123" t="str">
        <f t="shared" si="158"/>
        <v/>
      </c>
      <c r="AS133" s="1002"/>
      <c r="AT133" s="446"/>
      <c r="AU133" s="132" t="str">
        <f t="shared" si="159"/>
        <v/>
      </c>
      <c r="AV133" s="17"/>
      <c r="AW133" s="125" t="str">
        <f t="shared" si="160"/>
        <v/>
      </c>
      <c r="AX133" s="16"/>
      <c r="AY133" s="26"/>
    </row>
    <row r="134" spans="2:51">
      <c r="B134" s="512"/>
      <c r="C134" s="125"/>
      <c r="D134" s="124" t="str">
        <f t="shared" si="118"/>
        <v/>
      </c>
      <c r="E134" s="124" t="str">
        <f t="shared" si="119"/>
        <v/>
      </c>
      <c r="F134" s="125" t="str">
        <f t="shared" si="120"/>
        <v/>
      </c>
      <c r="G134" s="123" t="str">
        <f t="shared" si="121"/>
        <v/>
      </c>
      <c r="H134" s="123" t="str">
        <f t="shared" si="122"/>
        <v/>
      </c>
      <c r="I134" s="124" t="str">
        <f t="shared" si="123"/>
        <v/>
      </c>
      <c r="J134" s="124" t="str">
        <f t="shared" si="124"/>
        <v/>
      </c>
      <c r="K134" s="125" t="str">
        <f t="shared" si="125"/>
        <v/>
      </c>
      <c r="L134" s="125" t="str">
        <f t="shared" si="126"/>
        <v/>
      </c>
      <c r="M134" s="123" t="str">
        <f t="shared" si="127"/>
        <v/>
      </c>
      <c r="N134" s="123" t="str">
        <f t="shared" si="128"/>
        <v/>
      </c>
      <c r="O134" s="123" t="str">
        <f t="shared" si="129"/>
        <v/>
      </c>
      <c r="P134" s="123" t="str">
        <f t="shared" si="130"/>
        <v/>
      </c>
      <c r="Q134" s="123" t="str">
        <f t="shared" si="131"/>
        <v/>
      </c>
      <c r="R134" s="123" t="str">
        <f t="shared" si="132"/>
        <v/>
      </c>
      <c r="S134" s="123" t="str">
        <f t="shared" si="133"/>
        <v/>
      </c>
      <c r="T134" s="123" t="str">
        <f t="shared" si="134"/>
        <v/>
      </c>
      <c r="U134" s="123" t="str">
        <f t="shared" si="135"/>
        <v/>
      </c>
      <c r="V134" s="123" t="str">
        <f t="shared" si="136"/>
        <v/>
      </c>
      <c r="W134" s="19" t="str">
        <f t="shared" si="137"/>
        <v/>
      </c>
      <c r="X134" s="19" t="str">
        <f t="shared" si="138"/>
        <v/>
      </c>
      <c r="Y134" s="19" t="str">
        <f t="shared" si="139"/>
        <v/>
      </c>
      <c r="Z134" s="19" t="str">
        <f t="shared" si="140"/>
        <v/>
      </c>
      <c r="AA134" s="19" t="str">
        <f t="shared" si="141"/>
        <v/>
      </c>
      <c r="AB134" s="19" t="str">
        <f t="shared" si="142"/>
        <v/>
      </c>
      <c r="AC134" s="19" t="str">
        <f t="shared" si="143"/>
        <v/>
      </c>
      <c r="AD134" s="19" t="str">
        <f t="shared" si="144"/>
        <v/>
      </c>
      <c r="AE134" s="19" t="str">
        <f t="shared" si="145"/>
        <v/>
      </c>
      <c r="AF134" s="19" t="str">
        <f t="shared" si="146"/>
        <v/>
      </c>
      <c r="AG134" s="123" t="str">
        <f t="shared" si="147"/>
        <v/>
      </c>
      <c r="AH134" s="123" t="str">
        <f t="shared" si="148"/>
        <v/>
      </c>
      <c r="AI134" s="123" t="str">
        <f t="shared" si="149"/>
        <v/>
      </c>
      <c r="AJ134" s="123" t="str">
        <f t="shared" si="150"/>
        <v/>
      </c>
      <c r="AK134" s="123" t="str">
        <f t="shared" si="151"/>
        <v/>
      </c>
      <c r="AL134" s="123" t="str">
        <f t="shared" si="152"/>
        <v/>
      </c>
      <c r="AM134" s="123" t="str">
        <f t="shared" si="153"/>
        <v/>
      </c>
      <c r="AN134" s="123" t="str">
        <f t="shared" si="154"/>
        <v/>
      </c>
      <c r="AO134" s="123" t="str">
        <f t="shared" si="155"/>
        <v/>
      </c>
      <c r="AP134" s="123" t="str">
        <f t="shared" si="156"/>
        <v/>
      </c>
      <c r="AQ134" s="131" t="str">
        <f t="shared" si="157"/>
        <v/>
      </c>
      <c r="AR134" s="123" t="str">
        <f t="shared" si="158"/>
        <v/>
      </c>
      <c r="AS134" s="1002"/>
      <c r="AT134" s="446"/>
      <c r="AU134" s="132" t="str">
        <f t="shared" si="159"/>
        <v/>
      </c>
      <c r="AV134" s="17"/>
      <c r="AW134" s="125" t="str">
        <f t="shared" si="160"/>
        <v/>
      </c>
      <c r="AX134" s="16"/>
      <c r="AY134" s="26"/>
    </row>
    <row r="135" spans="2:51">
      <c r="B135" s="512"/>
      <c r="C135" s="125"/>
      <c r="D135" s="124" t="str">
        <f t="shared" si="118"/>
        <v/>
      </c>
      <c r="E135" s="124" t="str">
        <f t="shared" si="119"/>
        <v/>
      </c>
      <c r="F135" s="125" t="str">
        <f t="shared" si="120"/>
        <v/>
      </c>
      <c r="G135" s="123" t="str">
        <f t="shared" si="121"/>
        <v/>
      </c>
      <c r="H135" s="123" t="str">
        <f t="shared" si="122"/>
        <v/>
      </c>
      <c r="I135" s="124" t="str">
        <f t="shared" si="123"/>
        <v/>
      </c>
      <c r="J135" s="124" t="str">
        <f t="shared" si="124"/>
        <v/>
      </c>
      <c r="K135" s="125" t="str">
        <f t="shared" si="125"/>
        <v/>
      </c>
      <c r="L135" s="125" t="str">
        <f t="shared" si="126"/>
        <v/>
      </c>
      <c r="M135" s="123" t="str">
        <f t="shared" si="127"/>
        <v/>
      </c>
      <c r="N135" s="123" t="str">
        <f t="shared" si="128"/>
        <v/>
      </c>
      <c r="O135" s="123" t="str">
        <f t="shared" si="129"/>
        <v/>
      </c>
      <c r="P135" s="123" t="str">
        <f t="shared" si="130"/>
        <v/>
      </c>
      <c r="Q135" s="123" t="str">
        <f t="shared" si="131"/>
        <v/>
      </c>
      <c r="R135" s="123" t="str">
        <f t="shared" si="132"/>
        <v/>
      </c>
      <c r="S135" s="123" t="str">
        <f t="shared" si="133"/>
        <v/>
      </c>
      <c r="T135" s="123" t="str">
        <f t="shared" si="134"/>
        <v/>
      </c>
      <c r="U135" s="123" t="str">
        <f t="shared" si="135"/>
        <v/>
      </c>
      <c r="V135" s="123" t="str">
        <f t="shared" si="136"/>
        <v/>
      </c>
      <c r="W135" s="19" t="str">
        <f t="shared" si="137"/>
        <v/>
      </c>
      <c r="X135" s="19" t="str">
        <f t="shared" si="138"/>
        <v/>
      </c>
      <c r="Y135" s="19" t="str">
        <f t="shared" si="139"/>
        <v/>
      </c>
      <c r="Z135" s="19" t="str">
        <f t="shared" si="140"/>
        <v/>
      </c>
      <c r="AA135" s="19" t="str">
        <f t="shared" si="141"/>
        <v/>
      </c>
      <c r="AB135" s="19" t="str">
        <f t="shared" si="142"/>
        <v/>
      </c>
      <c r="AC135" s="19" t="str">
        <f t="shared" si="143"/>
        <v/>
      </c>
      <c r="AD135" s="19" t="str">
        <f t="shared" si="144"/>
        <v/>
      </c>
      <c r="AE135" s="19" t="str">
        <f t="shared" si="145"/>
        <v/>
      </c>
      <c r="AF135" s="19" t="str">
        <f t="shared" si="146"/>
        <v/>
      </c>
      <c r="AG135" s="123" t="str">
        <f t="shared" si="147"/>
        <v/>
      </c>
      <c r="AH135" s="123" t="str">
        <f t="shared" si="148"/>
        <v/>
      </c>
      <c r="AI135" s="123" t="str">
        <f t="shared" si="149"/>
        <v/>
      </c>
      <c r="AJ135" s="123" t="str">
        <f t="shared" si="150"/>
        <v/>
      </c>
      <c r="AK135" s="123" t="str">
        <f t="shared" si="151"/>
        <v/>
      </c>
      <c r="AL135" s="123" t="str">
        <f t="shared" si="152"/>
        <v/>
      </c>
      <c r="AM135" s="123" t="str">
        <f t="shared" si="153"/>
        <v/>
      </c>
      <c r="AN135" s="123" t="str">
        <f t="shared" si="154"/>
        <v/>
      </c>
      <c r="AO135" s="123" t="str">
        <f t="shared" si="155"/>
        <v/>
      </c>
      <c r="AP135" s="123" t="str">
        <f t="shared" si="156"/>
        <v/>
      </c>
      <c r="AQ135" s="131" t="str">
        <f t="shared" si="157"/>
        <v/>
      </c>
      <c r="AR135" s="123" t="str">
        <f t="shared" si="158"/>
        <v/>
      </c>
      <c r="AS135" s="1002"/>
      <c r="AT135" s="446"/>
      <c r="AU135" s="132" t="str">
        <f t="shared" si="159"/>
        <v/>
      </c>
      <c r="AV135" s="17"/>
      <c r="AW135" s="125" t="str">
        <f t="shared" si="160"/>
        <v/>
      </c>
      <c r="AX135" s="16"/>
      <c r="AY135" s="26"/>
    </row>
    <row r="136" spans="2:51">
      <c r="B136" s="512"/>
      <c r="C136" s="125"/>
      <c r="D136" s="124" t="str">
        <f t="shared" si="118"/>
        <v/>
      </c>
      <c r="E136" s="124" t="str">
        <f t="shared" si="119"/>
        <v/>
      </c>
      <c r="F136" s="125" t="str">
        <f t="shared" si="120"/>
        <v/>
      </c>
      <c r="G136" s="123" t="str">
        <f t="shared" si="121"/>
        <v/>
      </c>
      <c r="H136" s="123" t="str">
        <f t="shared" si="122"/>
        <v/>
      </c>
      <c r="I136" s="124" t="str">
        <f t="shared" si="123"/>
        <v/>
      </c>
      <c r="J136" s="124" t="str">
        <f t="shared" si="124"/>
        <v/>
      </c>
      <c r="K136" s="125" t="str">
        <f t="shared" si="125"/>
        <v/>
      </c>
      <c r="L136" s="125" t="str">
        <f t="shared" si="126"/>
        <v/>
      </c>
      <c r="M136" s="123" t="str">
        <f t="shared" si="127"/>
        <v/>
      </c>
      <c r="N136" s="123" t="str">
        <f t="shared" si="128"/>
        <v/>
      </c>
      <c r="O136" s="123" t="str">
        <f t="shared" si="129"/>
        <v/>
      </c>
      <c r="P136" s="123" t="str">
        <f t="shared" si="130"/>
        <v/>
      </c>
      <c r="Q136" s="123" t="str">
        <f t="shared" si="131"/>
        <v/>
      </c>
      <c r="R136" s="123" t="str">
        <f t="shared" si="132"/>
        <v/>
      </c>
      <c r="S136" s="123" t="str">
        <f t="shared" si="133"/>
        <v/>
      </c>
      <c r="T136" s="123" t="str">
        <f t="shared" si="134"/>
        <v/>
      </c>
      <c r="U136" s="123" t="str">
        <f t="shared" si="135"/>
        <v/>
      </c>
      <c r="V136" s="123" t="str">
        <f t="shared" si="136"/>
        <v/>
      </c>
      <c r="W136" s="19" t="str">
        <f t="shared" si="137"/>
        <v/>
      </c>
      <c r="X136" s="19" t="str">
        <f t="shared" si="138"/>
        <v/>
      </c>
      <c r="Y136" s="19" t="str">
        <f t="shared" si="139"/>
        <v/>
      </c>
      <c r="Z136" s="19" t="str">
        <f t="shared" si="140"/>
        <v/>
      </c>
      <c r="AA136" s="19" t="str">
        <f t="shared" si="141"/>
        <v/>
      </c>
      <c r="AB136" s="19" t="str">
        <f t="shared" si="142"/>
        <v/>
      </c>
      <c r="AC136" s="19" t="str">
        <f t="shared" si="143"/>
        <v/>
      </c>
      <c r="AD136" s="19" t="str">
        <f t="shared" si="144"/>
        <v/>
      </c>
      <c r="AE136" s="19" t="str">
        <f t="shared" si="145"/>
        <v/>
      </c>
      <c r="AF136" s="19" t="str">
        <f t="shared" si="146"/>
        <v/>
      </c>
      <c r="AG136" s="123" t="str">
        <f t="shared" si="147"/>
        <v/>
      </c>
      <c r="AH136" s="123" t="str">
        <f t="shared" si="148"/>
        <v/>
      </c>
      <c r="AI136" s="123" t="str">
        <f t="shared" si="149"/>
        <v/>
      </c>
      <c r="AJ136" s="123" t="str">
        <f t="shared" si="150"/>
        <v/>
      </c>
      <c r="AK136" s="123" t="str">
        <f t="shared" si="151"/>
        <v/>
      </c>
      <c r="AL136" s="123" t="str">
        <f t="shared" si="152"/>
        <v/>
      </c>
      <c r="AM136" s="123" t="str">
        <f t="shared" si="153"/>
        <v/>
      </c>
      <c r="AN136" s="123" t="str">
        <f t="shared" si="154"/>
        <v/>
      </c>
      <c r="AO136" s="123" t="str">
        <f t="shared" si="155"/>
        <v/>
      </c>
      <c r="AP136" s="123" t="str">
        <f t="shared" si="156"/>
        <v/>
      </c>
      <c r="AQ136" s="131" t="str">
        <f t="shared" si="157"/>
        <v/>
      </c>
      <c r="AR136" s="123" t="str">
        <f t="shared" si="158"/>
        <v/>
      </c>
      <c r="AS136" s="1002"/>
      <c r="AT136" s="446"/>
      <c r="AU136" s="132" t="str">
        <f t="shared" si="159"/>
        <v/>
      </c>
      <c r="AV136" s="17"/>
      <c r="AW136" s="125" t="str">
        <f t="shared" si="160"/>
        <v/>
      </c>
      <c r="AX136" s="16"/>
      <c r="AY136" s="26"/>
    </row>
    <row r="137" spans="2:51">
      <c r="B137" s="512"/>
      <c r="C137" s="125"/>
      <c r="D137" s="124" t="str">
        <f t="shared" si="118"/>
        <v/>
      </c>
      <c r="E137" s="124" t="str">
        <f t="shared" si="119"/>
        <v/>
      </c>
      <c r="F137" s="125" t="str">
        <f t="shared" si="120"/>
        <v/>
      </c>
      <c r="G137" s="123" t="str">
        <f t="shared" si="121"/>
        <v/>
      </c>
      <c r="H137" s="123" t="str">
        <f t="shared" si="122"/>
        <v/>
      </c>
      <c r="I137" s="124" t="str">
        <f t="shared" si="123"/>
        <v/>
      </c>
      <c r="J137" s="124" t="str">
        <f t="shared" si="124"/>
        <v/>
      </c>
      <c r="K137" s="125" t="str">
        <f t="shared" si="125"/>
        <v/>
      </c>
      <c r="L137" s="125" t="str">
        <f t="shared" si="126"/>
        <v/>
      </c>
      <c r="M137" s="123" t="str">
        <f t="shared" si="127"/>
        <v/>
      </c>
      <c r="N137" s="123" t="str">
        <f t="shared" si="128"/>
        <v/>
      </c>
      <c r="O137" s="123" t="str">
        <f t="shared" si="129"/>
        <v/>
      </c>
      <c r="P137" s="123" t="str">
        <f t="shared" si="130"/>
        <v/>
      </c>
      <c r="Q137" s="123" t="str">
        <f t="shared" si="131"/>
        <v/>
      </c>
      <c r="R137" s="123" t="str">
        <f t="shared" si="132"/>
        <v/>
      </c>
      <c r="S137" s="123" t="str">
        <f t="shared" si="133"/>
        <v/>
      </c>
      <c r="T137" s="123" t="str">
        <f t="shared" si="134"/>
        <v/>
      </c>
      <c r="U137" s="123" t="str">
        <f t="shared" si="135"/>
        <v/>
      </c>
      <c r="V137" s="123" t="str">
        <f t="shared" si="136"/>
        <v/>
      </c>
      <c r="W137" s="19" t="str">
        <f t="shared" si="137"/>
        <v/>
      </c>
      <c r="X137" s="19" t="str">
        <f t="shared" si="138"/>
        <v/>
      </c>
      <c r="Y137" s="19" t="str">
        <f t="shared" si="139"/>
        <v/>
      </c>
      <c r="Z137" s="19" t="str">
        <f t="shared" si="140"/>
        <v/>
      </c>
      <c r="AA137" s="19" t="str">
        <f t="shared" si="141"/>
        <v/>
      </c>
      <c r="AB137" s="19" t="str">
        <f t="shared" si="142"/>
        <v/>
      </c>
      <c r="AC137" s="19" t="str">
        <f t="shared" si="143"/>
        <v/>
      </c>
      <c r="AD137" s="19" t="str">
        <f t="shared" si="144"/>
        <v/>
      </c>
      <c r="AE137" s="19" t="str">
        <f t="shared" si="145"/>
        <v/>
      </c>
      <c r="AF137" s="19" t="str">
        <f t="shared" si="146"/>
        <v/>
      </c>
      <c r="AG137" s="123" t="str">
        <f t="shared" si="147"/>
        <v/>
      </c>
      <c r="AH137" s="123" t="str">
        <f t="shared" si="148"/>
        <v/>
      </c>
      <c r="AI137" s="123" t="str">
        <f t="shared" si="149"/>
        <v/>
      </c>
      <c r="AJ137" s="123" t="str">
        <f t="shared" si="150"/>
        <v/>
      </c>
      <c r="AK137" s="123" t="str">
        <f t="shared" si="151"/>
        <v/>
      </c>
      <c r="AL137" s="123" t="str">
        <f t="shared" si="152"/>
        <v/>
      </c>
      <c r="AM137" s="123" t="str">
        <f t="shared" si="153"/>
        <v/>
      </c>
      <c r="AN137" s="123" t="str">
        <f t="shared" si="154"/>
        <v/>
      </c>
      <c r="AO137" s="123" t="str">
        <f t="shared" si="155"/>
        <v/>
      </c>
      <c r="AP137" s="123" t="str">
        <f t="shared" si="156"/>
        <v/>
      </c>
      <c r="AQ137" s="131" t="str">
        <f t="shared" si="157"/>
        <v/>
      </c>
      <c r="AR137" s="123" t="str">
        <f t="shared" si="158"/>
        <v/>
      </c>
      <c r="AS137" s="1002"/>
      <c r="AT137" s="446"/>
      <c r="AU137" s="132" t="str">
        <f t="shared" si="159"/>
        <v/>
      </c>
      <c r="AV137" s="17"/>
      <c r="AW137" s="125" t="str">
        <f t="shared" si="160"/>
        <v/>
      </c>
      <c r="AX137" s="16"/>
      <c r="AY137" s="26"/>
    </row>
    <row r="138" spans="2:51">
      <c r="B138" s="512"/>
      <c r="C138" s="125"/>
      <c r="D138" s="124" t="str">
        <f t="shared" si="118"/>
        <v/>
      </c>
      <c r="E138" s="124" t="str">
        <f t="shared" si="119"/>
        <v/>
      </c>
      <c r="F138" s="125" t="str">
        <f t="shared" si="120"/>
        <v/>
      </c>
      <c r="G138" s="123" t="str">
        <f t="shared" si="121"/>
        <v/>
      </c>
      <c r="H138" s="123" t="str">
        <f t="shared" si="122"/>
        <v/>
      </c>
      <c r="I138" s="124" t="str">
        <f t="shared" si="123"/>
        <v/>
      </c>
      <c r="J138" s="124" t="str">
        <f t="shared" si="124"/>
        <v/>
      </c>
      <c r="K138" s="125" t="str">
        <f t="shared" si="125"/>
        <v/>
      </c>
      <c r="L138" s="125" t="str">
        <f t="shared" si="126"/>
        <v/>
      </c>
      <c r="M138" s="123" t="str">
        <f t="shared" si="127"/>
        <v/>
      </c>
      <c r="N138" s="123" t="str">
        <f t="shared" si="128"/>
        <v/>
      </c>
      <c r="O138" s="123" t="str">
        <f t="shared" si="129"/>
        <v/>
      </c>
      <c r="P138" s="123" t="str">
        <f t="shared" si="130"/>
        <v/>
      </c>
      <c r="Q138" s="123" t="str">
        <f t="shared" si="131"/>
        <v/>
      </c>
      <c r="R138" s="123" t="str">
        <f t="shared" si="132"/>
        <v/>
      </c>
      <c r="S138" s="123" t="str">
        <f t="shared" si="133"/>
        <v/>
      </c>
      <c r="T138" s="123" t="str">
        <f t="shared" si="134"/>
        <v/>
      </c>
      <c r="U138" s="123" t="str">
        <f t="shared" si="135"/>
        <v/>
      </c>
      <c r="V138" s="123" t="str">
        <f t="shared" si="136"/>
        <v/>
      </c>
      <c r="W138" s="19" t="str">
        <f t="shared" si="137"/>
        <v/>
      </c>
      <c r="X138" s="19" t="str">
        <f t="shared" si="138"/>
        <v/>
      </c>
      <c r="Y138" s="19" t="str">
        <f t="shared" si="139"/>
        <v/>
      </c>
      <c r="Z138" s="19" t="str">
        <f t="shared" si="140"/>
        <v/>
      </c>
      <c r="AA138" s="19" t="str">
        <f t="shared" si="141"/>
        <v/>
      </c>
      <c r="AB138" s="19" t="str">
        <f t="shared" si="142"/>
        <v/>
      </c>
      <c r="AC138" s="19" t="str">
        <f t="shared" si="143"/>
        <v/>
      </c>
      <c r="AD138" s="19" t="str">
        <f t="shared" si="144"/>
        <v/>
      </c>
      <c r="AE138" s="19" t="str">
        <f t="shared" si="145"/>
        <v/>
      </c>
      <c r="AF138" s="19" t="str">
        <f t="shared" si="146"/>
        <v/>
      </c>
      <c r="AG138" s="123" t="str">
        <f t="shared" si="147"/>
        <v/>
      </c>
      <c r="AH138" s="123" t="str">
        <f t="shared" si="148"/>
        <v/>
      </c>
      <c r="AI138" s="123" t="str">
        <f t="shared" si="149"/>
        <v/>
      </c>
      <c r="AJ138" s="123" t="str">
        <f t="shared" si="150"/>
        <v/>
      </c>
      <c r="AK138" s="123" t="str">
        <f t="shared" si="151"/>
        <v/>
      </c>
      <c r="AL138" s="123" t="str">
        <f t="shared" si="152"/>
        <v/>
      </c>
      <c r="AM138" s="123" t="str">
        <f t="shared" si="153"/>
        <v/>
      </c>
      <c r="AN138" s="123" t="str">
        <f t="shared" si="154"/>
        <v/>
      </c>
      <c r="AO138" s="123" t="str">
        <f t="shared" si="155"/>
        <v/>
      </c>
      <c r="AP138" s="123" t="str">
        <f t="shared" si="156"/>
        <v/>
      </c>
      <c r="AQ138" s="131" t="str">
        <f t="shared" si="157"/>
        <v/>
      </c>
      <c r="AR138" s="123" t="str">
        <f t="shared" si="158"/>
        <v/>
      </c>
      <c r="AS138" s="1002"/>
      <c r="AT138" s="446"/>
      <c r="AU138" s="132" t="str">
        <f t="shared" si="159"/>
        <v/>
      </c>
      <c r="AV138" s="17"/>
      <c r="AW138" s="125" t="str">
        <f t="shared" si="160"/>
        <v/>
      </c>
      <c r="AX138" s="16"/>
      <c r="AY138" s="26"/>
    </row>
    <row r="139" spans="2:51">
      <c r="B139" s="512"/>
      <c r="C139" s="125"/>
      <c r="D139" s="124" t="str">
        <f t="shared" si="118"/>
        <v/>
      </c>
      <c r="E139" s="124" t="str">
        <f t="shared" si="119"/>
        <v/>
      </c>
      <c r="F139" s="125" t="str">
        <f t="shared" si="120"/>
        <v/>
      </c>
      <c r="G139" s="123" t="str">
        <f t="shared" si="121"/>
        <v/>
      </c>
      <c r="H139" s="123" t="str">
        <f t="shared" si="122"/>
        <v/>
      </c>
      <c r="I139" s="124" t="str">
        <f t="shared" si="123"/>
        <v/>
      </c>
      <c r="J139" s="124" t="str">
        <f t="shared" si="124"/>
        <v/>
      </c>
      <c r="K139" s="125" t="str">
        <f t="shared" si="125"/>
        <v/>
      </c>
      <c r="L139" s="125" t="str">
        <f t="shared" si="126"/>
        <v/>
      </c>
      <c r="M139" s="123" t="str">
        <f t="shared" si="127"/>
        <v/>
      </c>
      <c r="N139" s="123" t="str">
        <f t="shared" si="128"/>
        <v/>
      </c>
      <c r="O139" s="123" t="str">
        <f t="shared" si="129"/>
        <v/>
      </c>
      <c r="P139" s="123" t="str">
        <f t="shared" si="130"/>
        <v/>
      </c>
      <c r="Q139" s="123" t="str">
        <f t="shared" si="131"/>
        <v/>
      </c>
      <c r="R139" s="123" t="str">
        <f t="shared" si="132"/>
        <v/>
      </c>
      <c r="S139" s="123" t="str">
        <f t="shared" si="133"/>
        <v/>
      </c>
      <c r="T139" s="123" t="str">
        <f t="shared" si="134"/>
        <v/>
      </c>
      <c r="U139" s="123" t="str">
        <f t="shared" si="135"/>
        <v/>
      </c>
      <c r="V139" s="123" t="str">
        <f t="shared" si="136"/>
        <v/>
      </c>
      <c r="W139" s="19" t="str">
        <f t="shared" si="137"/>
        <v/>
      </c>
      <c r="X139" s="19" t="str">
        <f t="shared" si="138"/>
        <v/>
      </c>
      <c r="Y139" s="19" t="str">
        <f t="shared" si="139"/>
        <v/>
      </c>
      <c r="Z139" s="19" t="str">
        <f t="shared" si="140"/>
        <v/>
      </c>
      <c r="AA139" s="19" t="str">
        <f t="shared" si="141"/>
        <v/>
      </c>
      <c r="AB139" s="19" t="str">
        <f t="shared" si="142"/>
        <v/>
      </c>
      <c r="AC139" s="19" t="str">
        <f t="shared" si="143"/>
        <v/>
      </c>
      <c r="AD139" s="19" t="str">
        <f t="shared" si="144"/>
        <v/>
      </c>
      <c r="AE139" s="19" t="str">
        <f t="shared" si="145"/>
        <v/>
      </c>
      <c r="AF139" s="19" t="str">
        <f t="shared" si="146"/>
        <v/>
      </c>
      <c r="AG139" s="123" t="str">
        <f t="shared" si="147"/>
        <v/>
      </c>
      <c r="AH139" s="123" t="str">
        <f t="shared" si="148"/>
        <v/>
      </c>
      <c r="AI139" s="123" t="str">
        <f t="shared" si="149"/>
        <v/>
      </c>
      <c r="AJ139" s="123" t="str">
        <f t="shared" si="150"/>
        <v/>
      </c>
      <c r="AK139" s="123" t="str">
        <f t="shared" si="151"/>
        <v/>
      </c>
      <c r="AL139" s="123" t="str">
        <f t="shared" si="152"/>
        <v/>
      </c>
      <c r="AM139" s="123" t="str">
        <f t="shared" si="153"/>
        <v/>
      </c>
      <c r="AN139" s="123" t="str">
        <f t="shared" si="154"/>
        <v/>
      </c>
      <c r="AO139" s="123" t="str">
        <f t="shared" si="155"/>
        <v/>
      </c>
      <c r="AP139" s="123" t="str">
        <f t="shared" si="156"/>
        <v/>
      </c>
      <c r="AQ139" s="131" t="str">
        <f t="shared" si="157"/>
        <v/>
      </c>
      <c r="AR139" s="123" t="str">
        <f t="shared" si="158"/>
        <v/>
      </c>
      <c r="AS139" s="1002"/>
      <c r="AT139" s="446"/>
      <c r="AU139" s="132" t="str">
        <f t="shared" si="159"/>
        <v/>
      </c>
      <c r="AV139" s="17"/>
      <c r="AW139" s="125" t="str">
        <f t="shared" si="160"/>
        <v/>
      </c>
      <c r="AX139" s="16"/>
      <c r="AY139" s="26"/>
    </row>
    <row r="140" spans="2:51">
      <c r="B140" s="512"/>
      <c r="C140" s="125"/>
      <c r="D140" s="124" t="str">
        <f t="shared" si="118"/>
        <v/>
      </c>
      <c r="E140" s="124" t="str">
        <f t="shared" si="119"/>
        <v/>
      </c>
      <c r="F140" s="125" t="str">
        <f t="shared" si="120"/>
        <v/>
      </c>
      <c r="G140" s="123" t="str">
        <f t="shared" si="121"/>
        <v/>
      </c>
      <c r="H140" s="123" t="str">
        <f t="shared" si="122"/>
        <v/>
      </c>
      <c r="I140" s="124" t="str">
        <f t="shared" si="123"/>
        <v/>
      </c>
      <c r="J140" s="124" t="str">
        <f t="shared" si="124"/>
        <v/>
      </c>
      <c r="K140" s="125" t="str">
        <f t="shared" si="125"/>
        <v/>
      </c>
      <c r="L140" s="125" t="str">
        <f t="shared" si="126"/>
        <v/>
      </c>
      <c r="M140" s="123" t="str">
        <f t="shared" si="127"/>
        <v/>
      </c>
      <c r="N140" s="123" t="str">
        <f t="shared" si="128"/>
        <v/>
      </c>
      <c r="O140" s="123" t="str">
        <f t="shared" si="129"/>
        <v/>
      </c>
      <c r="P140" s="123" t="str">
        <f t="shared" si="130"/>
        <v/>
      </c>
      <c r="Q140" s="123" t="str">
        <f t="shared" si="131"/>
        <v/>
      </c>
      <c r="R140" s="123" t="str">
        <f t="shared" si="132"/>
        <v/>
      </c>
      <c r="S140" s="123" t="str">
        <f t="shared" si="133"/>
        <v/>
      </c>
      <c r="T140" s="123" t="str">
        <f t="shared" si="134"/>
        <v/>
      </c>
      <c r="U140" s="123" t="str">
        <f t="shared" si="135"/>
        <v/>
      </c>
      <c r="V140" s="123" t="str">
        <f t="shared" si="136"/>
        <v/>
      </c>
      <c r="W140" s="19" t="str">
        <f t="shared" si="137"/>
        <v/>
      </c>
      <c r="X140" s="19" t="str">
        <f t="shared" si="138"/>
        <v/>
      </c>
      <c r="Y140" s="19" t="str">
        <f t="shared" si="139"/>
        <v/>
      </c>
      <c r="Z140" s="19" t="str">
        <f t="shared" si="140"/>
        <v/>
      </c>
      <c r="AA140" s="19" t="str">
        <f t="shared" si="141"/>
        <v/>
      </c>
      <c r="AB140" s="19" t="str">
        <f t="shared" si="142"/>
        <v/>
      </c>
      <c r="AC140" s="19" t="str">
        <f t="shared" si="143"/>
        <v/>
      </c>
      <c r="AD140" s="19" t="str">
        <f t="shared" si="144"/>
        <v/>
      </c>
      <c r="AE140" s="19" t="str">
        <f t="shared" si="145"/>
        <v/>
      </c>
      <c r="AF140" s="19" t="str">
        <f t="shared" si="146"/>
        <v/>
      </c>
      <c r="AG140" s="123" t="str">
        <f t="shared" si="147"/>
        <v/>
      </c>
      <c r="AH140" s="123" t="str">
        <f t="shared" si="148"/>
        <v/>
      </c>
      <c r="AI140" s="123" t="str">
        <f t="shared" si="149"/>
        <v/>
      </c>
      <c r="AJ140" s="123" t="str">
        <f t="shared" si="150"/>
        <v/>
      </c>
      <c r="AK140" s="123" t="str">
        <f t="shared" si="151"/>
        <v/>
      </c>
      <c r="AL140" s="123" t="str">
        <f t="shared" si="152"/>
        <v/>
      </c>
      <c r="AM140" s="123" t="str">
        <f t="shared" si="153"/>
        <v/>
      </c>
      <c r="AN140" s="123" t="str">
        <f t="shared" si="154"/>
        <v/>
      </c>
      <c r="AO140" s="123" t="str">
        <f t="shared" si="155"/>
        <v/>
      </c>
      <c r="AP140" s="123" t="str">
        <f t="shared" si="156"/>
        <v/>
      </c>
      <c r="AQ140" s="131" t="str">
        <f t="shared" si="157"/>
        <v/>
      </c>
      <c r="AR140" s="123" t="str">
        <f t="shared" si="158"/>
        <v/>
      </c>
      <c r="AS140" s="1002"/>
      <c r="AT140" s="446"/>
      <c r="AU140" s="132" t="str">
        <f t="shared" si="159"/>
        <v/>
      </c>
      <c r="AV140" s="17"/>
      <c r="AW140" s="125" t="str">
        <f t="shared" si="160"/>
        <v/>
      </c>
      <c r="AX140" s="16"/>
      <c r="AY140" s="26"/>
    </row>
    <row r="141" spans="2:51">
      <c r="B141" s="512"/>
      <c r="C141" s="125"/>
      <c r="D141" s="124" t="str">
        <f t="shared" si="118"/>
        <v/>
      </c>
      <c r="E141" s="124" t="str">
        <f t="shared" si="119"/>
        <v/>
      </c>
      <c r="F141" s="125" t="str">
        <f t="shared" si="120"/>
        <v/>
      </c>
      <c r="G141" s="123" t="str">
        <f t="shared" si="121"/>
        <v/>
      </c>
      <c r="H141" s="123" t="str">
        <f t="shared" si="122"/>
        <v/>
      </c>
      <c r="I141" s="124" t="str">
        <f t="shared" si="123"/>
        <v/>
      </c>
      <c r="J141" s="124" t="str">
        <f t="shared" si="124"/>
        <v/>
      </c>
      <c r="K141" s="125" t="str">
        <f t="shared" si="125"/>
        <v/>
      </c>
      <c r="L141" s="125" t="str">
        <f t="shared" si="126"/>
        <v/>
      </c>
      <c r="M141" s="123" t="str">
        <f t="shared" si="127"/>
        <v/>
      </c>
      <c r="N141" s="123" t="str">
        <f t="shared" si="128"/>
        <v/>
      </c>
      <c r="O141" s="123" t="str">
        <f t="shared" si="129"/>
        <v/>
      </c>
      <c r="P141" s="123" t="str">
        <f t="shared" si="130"/>
        <v/>
      </c>
      <c r="Q141" s="123" t="str">
        <f t="shared" si="131"/>
        <v/>
      </c>
      <c r="R141" s="123" t="str">
        <f t="shared" si="132"/>
        <v/>
      </c>
      <c r="S141" s="123" t="str">
        <f t="shared" si="133"/>
        <v/>
      </c>
      <c r="T141" s="123" t="str">
        <f t="shared" si="134"/>
        <v/>
      </c>
      <c r="U141" s="123" t="str">
        <f t="shared" si="135"/>
        <v/>
      </c>
      <c r="V141" s="123" t="str">
        <f t="shared" si="136"/>
        <v/>
      </c>
      <c r="W141" s="19" t="str">
        <f t="shared" si="137"/>
        <v/>
      </c>
      <c r="X141" s="19" t="str">
        <f t="shared" si="138"/>
        <v/>
      </c>
      <c r="Y141" s="19" t="str">
        <f t="shared" si="139"/>
        <v/>
      </c>
      <c r="Z141" s="19" t="str">
        <f t="shared" si="140"/>
        <v/>
      </c>
      <c r="AA141" s="19" t="str">
        <f t="shared" si="141"/>
        <v/>
      </c>
      <c r="AB141" s="19" t="str">
        <f t="shared" si="142"/>
        <v/>
      </c>
      <c r="AC141" s="19" t="str">
        <f t="shared" si="143"/>
        <v/>
      </c>
      <c r="AD141" s="19" t="str">
        <f t="shared" si="144"/>
        <v/>
      </c>
      <c r="AE141" s="19" t="str">
        <f t="shared" si="145"/>
        <v/>
      </c>
      <c r="AF141" s="19" t="str">
        <f t="shared" si="146"/>
        <v/>
      </c>
      <c r="AG141" s="123" t="str">
        <f t="shared" si="147"/>
        <v/>
      </c>
      <c r="AH141" s="123" t="str">
        <f t="shared" si="148"/>
        <v/>
      </c>
      <c r="AI141" s="123" t="str">
        <f t="shared" si="149"/>
        <v/>
      </c>
      <c r="AJ141" s="123" t="str">
        <f t="shared" si="150"/>
        <v/>
      </c>
      <c r="AK141" s="123" t="str">
        <f t="shared" si="151"/>
        <v/>
      </c>
      <c r="AL141" s="123" t="str">
        <f t="shared" si="152"/>
        <v/>
      </c>
      <c r="AM141" s="123" t="str">
        <f t="shared" si="153"/>
        <v/>
      </c>
      <c r="AN141" s="123" t="str">
        <f t="shared" si="154"/>
        <v/>
      </c>
      <c r="AO141" s="123" t="str">
        <f t="shared" si="155"/>
        <v/>
      </c>
      <c r="AP141" s="123" t="str">
        <f t="shared" si="156"/>
        <v/>
      </c>
      <c r="AQ141" s="131" t="str">
        <f t="shared" si="157"/>
        <v/>
      </c>
      <c r="AR141" s="123" t="str">
        <f t="shared" si="158"/>
        <v/>
      </c>
      <c r="AS141" s="1002"/>
      <c r="AT141" s="446"/>
      <c r="AU141" s="132" t="str">
        <f t="shared" si="159"/>
        <v/>
      </c>
      <c r="AV141" s="17"/>
      <c r="AW141" s="125" t="str">
        <f t="shared" si="160"/>
        <v/>
      </c>
      <c r="AX141" s="16"/>
      <c r="AY141" s="26"/>
    </row>
    <row r="142" spans="2:51">
      <c r="B142" s="512"/>
      <c r="C142" s="125"/>
      <c r="D142" s="124" t="str">
        <f t="shared" si="118"/>
        <v/>
      </c>
      <c r="E142" s="124" t="str">
        <f t="shared" si="119"/>
        <v/>
      </c>
      <c r="F142" s="125" t="str">
        <f t="shared" si="120"/>
        <v/>
      </c>
      <c r="G142" s="123" t="str">
        <f t="shared" si="121"/>
        <v/>
      </c>
      <c r="H142" s="123" t="str">
        <f t="shared" si="122"/>
        <v/>
      </c>
      <c r="I142" s="124" t="str">
        <f t="shared" si="123"/>
        <v/>
      </c>
      <c r="J142" s="124" t="str">
        <f t="shared" si="124"/>
        <v/>
      </c>
      <c r="K142" s="125" t="str">
        <f t="shared" si="125"/>
        <v/>
      </c>
      <c r="L142" s="125" t="str">
        <f t="shared" si="126"/>
        <v/>
      </c>
      <c r="M142" s="123" t="str">
        <f t="shared" si="127"/>
        <v/>
      </c>
      <c r="N142" s="123" t="str">
        <f t="shared" si="128"/>
        <v/>
      </c>
      <c r="O142" s="123" t="str">
        <f t="shared" si="129"/>
        <v/>
      </c>
      <c r="P142" s="123" t="str">
        <f t="shared" si="130"/>
        <v/>
      </c>
      <c r="Q142" s="123" t="str">
        <f t="shared" si="131"/>
        <v/>
      </c>
      <c r="R142" s="123" t="str">
        <f t="shared" si="132"/>
        <v/>
      </c>
      <c r="S142" s="123" t="str">
        <f t="shared" si="133"/>
        <v/>
      </c>
      <c r="T142" s="123" t="str">
        <f t="shared" si="134"/>
        <v/>
      </c>
      <c r="U142" s="123" t="str">
        <f t="shared" si="135"/>
        <v/>
      </c>
      <c r="V142" s="123" t="str">
        <f t="shared" si="136"/>
        <v/>
      </c>
      <c r="W142" s="19" t="str">
        <f t="shared" si="137"/>
        <v/>
      </c>
      <c r="X142" s="19" t="str">
        <f t="shared" si="138"/>
        <v/>
      </c>
      <c r="Y142" s="19" t="str">
        <f t="shared" si="139"/>
        <v/>
      </c>
      <c r="Z142" s="19" t="str">
        <f t="shared" si="140"/>
        <v/>
      </c>
      <c r="AA142" s="19" t="str">
        <f t="shared" si="141"/>
        <v/>
      </c>
      <c r="AB142" s="19" t="str">
        <f t="shared" si="142"/>
        <v/>
      </c>
      <c r="AC142" s="19" t="str">
        <f t="shared" si="143"/>
        <v/>
      </c>
      <c r="AD142" s="19" t="str">
        <f t="shared" si="144"/>
        <v/>
      </c>
      <c r="AE142" s="19" t="str">
        <f t="shared" si="145"/>
        <v/>
      </c>
      <c r="AF142" s="19" t="str">
        <f t="shared" si="146"/>
        <v/>
      </c>
      <c r="AG142" s="123" t="str">
        <f t="shared" si="147"/>
        <v/>
      </c>
      <c r="AH142" s="123" t="str">
        <f t="shared" si="148"/>
        <v/>
      </c>
      <c r="AI142" s="123" t="str">
        <f t="shared" si="149"/>
        <v/>
      </c>
      <c r="AJ142" s="123" t="str">
        <f t="shared" si="150"/>
        <v/>
      </c>
      <c r="AK142" s="123" t="str">
        <f t="shared" si="151"/>
        <v/>
      </c>
      <c r="AL142" s="123" t="str">
        <f t="shared" si="152"/>
        <v/>
      </c>
      <c r="AM142" s="123" t="str">
        <f t="shared" si="153"/>
        <v/>
      </c>
      <c r="AN142" s="123" t="str">
        <f t="shared" si="154"/>
        <v/>
      </c>
      <c r="AO142" s="123" t="str">
        <f t="shared" si="155"/>
        <v/>
      </c>
      <c r="AP142" s="123" t="str">
        <f t="shared" si="156"/>
        <v/>
      </c>
      <c r="AQ142" s="131" t="str">
        <f t="shared" si="157"/>
        <v/>
      </c>
      <c r="AR142" s="123" t="str">
        <f t="shared" si="158"/>
        <v/>
      </c>
      <c r="AS142" s="1002"/>
      <c r="AT142" s="446"/>
      <c r="AU142" s="132" t="str">
        <f t="shared" si="159"/>
        <v/>
      </c>
      <c r="AV142" s="17"/>
      <c r="AW142" s="125" t="str">
        <f t="shared" si="160"/>
        <v/>
      </c>
      <c r="AX142" s="16"/>
      <c r="AY142" s="26"/>
    </row>
    <row r="143" spans="2:51">
      <c r="B143" s="512"/>
      <c r="C143" s="125"/>
      <c r="D143" s="124" t="str">
        <f t="shared" si="118"/>
        <v/>
      </c>
      <c r="E143" s="124" t="str">
        <f t="shared" si="119"/>
        <v/>
      </c>
      <c r="F143" s="125" t="str">
        <f t="shared" si="120"/>
        <v/>
      </c>
      <c r="G143" s="123" t="str">
        <f t="shared" si="121"/>
        <v/>
      </c>
      <c r="H143" s="123" t="str">
        <f t="shared" si="122"/>
        <v/>
      </c>
      <c r="I143" s="124" t="str">
        <f t="shared" si="123"/>
        <v/>
      </c>
      <c r="J143" s="124" t="str">
        <f t="shared" si="124"/>
        <v/>
      </c>
      <c r="K143" s="125" t="str">
        <f t="shared" si="125"/>
        <v/>
      </c>
      <c r="L143" s="125" t="str">
        <f t="shared" si="126"/>
        <v/>
      </c>
      <c r="M143" s="123" t="str">
        <f t="shared" si="127"/>
        <v/>
      </c>
      <c r="N143" s="123" t="str">
        <f t="shared" si="128"/>
        <v/>
      </c>
      <c r="O143" s="123" t="str">
        <f t="shared" si="129"/>
        <v/>
      </c>
      <c r="P143" s="123" t="str">
        <f t="shared" si="130"/>
        <v/>
      </c>
      <c r="Q143" s="123" t="str">
        <f t="shared" si="131"/>
        <v/>
      </c>
      <c r="R143" s="123" t="str">
        <f t="shared" si="132"/>
        <v/>
      </c>
      <c r="S143" s="123" t="str">
        <f t="shared" si="133"/>
        <v/>
      </c>
      <c r="T143" s="123" t="str">
        <f t="shared" si="134"/>
        <v/>
      </c>
      <c r="U143" s="123" t="str">
        <f t="shared" si="135"/>
        <v/>
      </c>
      <c r="V143" s="123" t="str">
        <f t="shared" si="136"/>
        <v/>
      </c>
      <c r="W143" s="19" t="str">
        <f t="shared" si="137"/>
        <v/>
      </c>
      <c r="X143" s="19" t="str">
        <f t="shared" si="138"/>
        <v/>
      </c>
      <c r="Y143" s="19" t="str">
        <f t="shared" si="139"/>
        <v/>
      </c>
      <c r="Z143" s="19" t="str">
        <f t="shared" si="140"/>
        <v/>
      </c>
      <c r="AA143" s="19" t="str">
        <f t="shared" si="141"/>
        <v/>
      </c>
      <c r="AB143" s="19" t="str">
        <f t="shared" si="142"/>
        <v/>
      </c>
      <c r="AC143" s="19" t="str">
        <f t="shared" si="143"/>
        <v/>
      </c>
      <c r="AD143" s="19" t="str">
        <f t="shared" si="144"/>
        <v/>
      </c>
      <c r="AE143" s="19" t="str">
        <f t="shared" si="145"/>
        <v/>
      </c>
      <c r="AF143" s="19" t="str">
        <f t="shared" si="146"/>
        <v/>
      </c>
      <c r="AG143" s="123" t="str">
        <f t="shared" si="147"/>
        <v/>
      </c>
      <c r="AH143" s="123" t="str">
        <f t="shared" si="148"/>
        <v/>
      </c>
      <c r="AI143" s="123" t="str">
        <f t="shared" si="149"/>
        <v/>
      </c>
      <c r="AJ143" s="123" t="str">
        <f t="shared" si="150"/>
        <v/>
      </c>
      <c r="AK143" s="123" t="str">
        <f t="shared" si="151"/>
        <v/>
      </c>
      <c r="AL143" s="123" t="str">
        <f t="shared" si="152"/>
        <v/>
      </c>
      <c r="AM143" s="123" t="str">
        <f t="shared" si="153"/>
        <v/>
      </c>
      <c r="AN143" s="123" t="str">
        <f t="shared" si="154"/>
        <v/>
      </c>
      <c r="AO143" s="123" t="str">
        <f t="shared" si="155"/>
        <v/>
      </c>
      <c r="AP143" s="123" t="str">
        <f t="shared" si="156"/>
        <v/>
      </c>
      <c r="AQ143" s="131" t="str">
        <f t="shared" si="157"/>
        <v/>
      </c>
      <c r="AR143" s="123" t="str">
        <f t="shared" si="158"/>
        <v/>
      </c>
      <c r="AS143" s="1002"/>
      <c r="AT143" s="446"/>
      <c r="AU143" s="132" t="str">
        <f t="shared" si="159"/>
        <v/>
      </c>
      <c r="AV143" s="17"/>
      <c r="AW143" s="125" t="str">
        <f t="shared" si="160"/>
        <v/>
      </c>
      <c r="AX143" s="16"/>
      <c r="AY143" s="26"/>
    </row>
    <row r="144" spans="2:51">
      <c r="B144" s="512"/>
      <c r="C144" s="125"/>
      <c r="D144" s="124" t="str">
        <f t="shared" si="118"/>
        <v/>
      </c>
      <c r="E144" s="124" t="str">
        <f t="shared" si="119"/>
        <v/>
      </c>
      <c r="F144" s="125" t="str">
        <f t="shared" si="120"/>
        <v/>
      </c>
      <c r="G144" s="123" t="str">
        <f t="shared" si="121"/>
        <v/>
      </c>
      <c r="H144" s="123" t="str">
        <f t="shared" si="122"/>
        <v/>
      </c>
      <c r="I144" s="124" t="str">
        <f t="shared" si="123"/>
        <v/>
      </c>
      <c r="J144" s="124" t="str">
        <f t="shared" si="124"/>
        <v/>
      </c>
      <c r="K144" s="125" t="str">
        <f t="shared" si="125"/>
        <v/>
      </c>
      <c r="L144" s="125" t="str">
        <f t="shared" si="126"/>
        <v/>
      </c>
      <c r="M144" s="123" t="str">
        <f t="shared" si="127"/>
        <v/>
      </c>
      <c r="N144" s="123" t="str">
        <f t="shared" si="128"/>
        <v/>
      </c>
      <c r="O144" s="123" t="str">
        <f t="shared" si="129"/>
        <v/>
      </c>
      <c r="P144" s="123" t="str">
        <f t="shared" si="130"/>
        <v/>
      </c>
      <c r="Q144" s="123" t="str">
        <f t="shared" si="131"/>
        <v/>
      </c>
      <c r="R144" s="123" t="str">
        <f t="shared" si="132"/>
        <v/>
      </c>
      <c r="S144" s="123" t="str">
        <f t="shared" si="133"/>
        <v/>
      </c>
      <c r="T144" s="123" t="str">
        <f t="shared" si="134"/>
        <v/>
      </c>
      <c r="U144" s="123" t="str">
        <f t="shared" si="135"/>
        <v/>
      </c>
      <c r="V144" s="123" t="str">
        <f t="shared" si="136"/>
        <v/>
      </c>
      <c r="W144" s="19" t="str">
        <f t="shared" si="137"/>
        <v/>
      </c>
      <c r="X144" s="19" t="str">
        <f t="shared" si="138"/>
        <v/>
      </c>
      <c r="Y144" s="19" t="str">
        <f t="shared" si="139"/>
        <v/>
      </c>
      <c r="Z144" s="19" t="str">
        <f t="shared" si="140"/>
        <v/>
      </c>
      <c r="AA144" s="19" t="str">
        <f t="shared" si="141"/>
        <v/>
      </c>
      <c r="AB144" s="19" t="str">
        <f t="shared" si="142"/>
        <v/>
      </c>
      <c r="AC144" s="19" t="str">
        <f t="shared" si="143"/>
        <v/>
      </c>
      <c r="AD144" s="19" t="str">
        <f t="shared" si="144"/>
        <v/>
      </c>
      <c r="AE144" s="19" t="str">
        <f t="shared" si="145"/>
        <v/>
      </c>
      <c r="AF144" s="19" t="str">
        <f t="shared" si="146"/>
        <v/>
      </c>
      <c r="AG144" s="123" t="str">
        <f t="shared" si="147"/>
        <v/>
      </c>
      <c r="AH144" s="123" t="str">
        <f t="shared" si="148"/>
        <v/>
      </c>
      <c r="AI144" s="123" t="str">
        <f t="shared" si="149"/>
        <v/>
      </c>
      <c r="AJ144" s="123" t="str">
        <f t="shared" si="150"/>
        <v/>
      </c>
      <c r="AK144" s="123" t="str">
        <f t="shared" si="151"/>
        <v/>
      </c>
      <c r="AL144" s="123" t="str">
        <f t="shared" si="152"/>
        <v/>
      </c>
      <c r="AM144" s="123" t="str">
        <f t="shared" si="153"/>
        <v/>
      </c>
      <c r="AN144" s="123" t="str">
        <f t="shared" si="154"/>
        <v/>
      </c>
      <c r="AO144" s="123" t="str">
        <f t="shared" si="155"/>
        <v/>
      </c>
      <c r="AP144" s="123" t="str">
        <f t="shared" si="156"/>
        <v/>
      </c>
      <c r="AQ144" s="131" t="str">
        <f t="shared" si="157"/>
        <v/>
      </c>
      <c r="AR144" s="123" t="str">
        <f t="shared" si="158"/>
        <v/>
      </c>
      <c r="AS144" s="1002"/>
      <c r="AT144" s="446"/>
      <c r="AU144" s="132" t="str">
        <f t="shared" si="159"/>
        <v/>
      </c>
      <c r="AV144" s="17"/>
      <c r="AW144" s="125" t="str">
        <f t="shared" si="160"/>
        <v/>
      </c>
      <c r="AX144" s="16"/>
      <c r="AY144" s="26"/>
    </row>
    <row r="145" spans="2:51">
      <c r="B145" s="512"/>
      <c r="C145" s="125"/>
      <c r="D145" s="124" t="str">
        <f t="shared" si="118"/>
        <v/>
      </c>
      <c r="E145" s="124" t="str">
        <f t="shared" si="119"/>
        <v/>
      </c>
      <c r="F145" s="125" t="str">
        <f t="shared" si="120"/>
        <v/>
      </c>
      <c r="G145" s="123" t="str">
        <f t="shared" si="121"/>
        <v/>
      </c>
      <c r="H145" s="123" t="str">
        <f t="shared" si="122"/>
        <v/>
      </c>
      <c r="I145" s="124" t="str">
        <f t="shared" si="123"/>
        <v/>
      </c>
      <c r="J145" s="124" t="str">
        <f t="shared" si="124"/>
        <v/>
      </c>
      <c r="K145" s="125" t="str">
        <f t="shared" si="125"/>
        <v/>
      </c>
      <c r="L145" s="125" t="str">
        <f t="shared" si="126"/>
        <v/>
      </c>
      <c r="M145" s="123" t="str">
        <f t="shared" si="127"/>
        <v/>
      </c>
      <c r="N145" s="123" t="str">
        <f t="shared" si="128"/>
        <v/>
      </c>
      <c r="O145" s="123" t="str">
        <f t="shared" si="129"/>
        <v/>
      </c>
      <c r="P145" s="123" t="str">
        <f t="shared" si="130"/>
        <v/>
      </c>
      <c r="Q145" s="123" t="str">
        <f t="shared" si="131"/>
        <v/>
      </c>
      <c r="R145" s="123" t="str">
        <f t="shared" si="132"/>
        <v/>
      </c>
      <c r="S145" s="123" t="str">
        <f t="shared" si="133"/>
        <v/>
      </c>
      <c r="T145" s="123" t="str">
        <f t="shared" si="134"/>
        <v/>
      </c>
      <c r="U145" s="123" t="str">
        <f t="shared" si="135"/>
        <v/>
      </c>
      <c r="V145" s="123" t="str">
        <f t="shared" si="136"/>
        <v/>
      </c>
      <c r="W145" s="19" t="str">
        <f t="shared" si="137"/>
        <v/>
      </c>
      <c r="X145" s="19" t="str">
        <f t="shared" si="138"/>
        <v/>
      </c>
      <c r="Y145" s="19" t="str">
        <f t="shared" si="139"/>
        <v/>
      </c>
      <c r="Z145" s="19" t="str">
        <f t="shared" si="140"/>
        <v/>
      </c>
      <c r="AA145" s="19" t="str">
        <f t="shared" si="141"/>
        <v/>
      </c>
      <c r="AB145" s="19" t="str">
        <f t="shared" si="142"/>
        <v/>
      </c>
      <c r="AC145" s="19" t="str">
        <f t="shared" si="143"/>
        <v/>
      </c>
      <c r="AD145" s="19" t="str">
        <f t="shared" si="144"/>
        <v/>
      </c>
      <c r="AE145" s="19" t="str">
        <f t="shared" si="145"/>
        <v/>
      </c>
      <c r="AF145" s="19" t="str">
        <f t="shared" si="146"/>
        <v/>
      </c>
      <c r="AG145" s="123" t="str">
        <f t="shared" si="147"/>
        <v/>
      </c>
      <c r="AH145" s="123" t="str">
        <f t="shared" si="148"/>
        <v/>
      </c>
      <c r="AI145" s="123" t="str">
        <f t="shared" si="149"/>
        <v/>
      </c>
      <c r="AJ145" s="123" t="str">
        <f t="shared" si="150"/>
        <v/>
      </c>
      <c r="AK145" s="123" t="str">
        <f t="shared" si="151"/>
        <v/>
      </c>
      <c r="AL145" s="123" t="str">
        <f t="shared" si="152"/>
        <v/>
      </c>
      <c r="AM145" s="123" t="str">
        <f t="shared" si="153"/>
        <v/>
      </c>
      <c r="AN145" s="123" t="str">
        <f t="shared" si="154"/>
        <v/>
      </c>
      <c r="AO145" s="123" t="str">
        <f t="shared" si="155"/>
        <v/>
      </c>
      <c r="AP145" s="123" t="str">
        <f t="shared" si="156"/>
        <v/>
      </c>
      <c r="AQ145" s="131" t="str">
        <f t="shared" si="157"/>
        <v/>
      </c>
      <c r="AR145" s="123" t="str">
        <f t="shared" si="158"/>
        <v/>
      </c>
      <c r="AS145" s="1002"/>
      <c r="AT145" s="446"/>
      <c r="AU145" s="132" t="str">
        <f t="shared" si="159"/>
        <v/>
      </c>
      <c r="AV145" s="17"/>
      <c r="AW145" s="125" t="str">
        <f t="shared" si="160"/>
        <v/>
      </c>
      <c r="AX145" s="16"/>
      <c r="AY145" s="26"/>
    </row>
    <row r="146" spans="2:51">
      <c r="B146" s="512"/>
      <c r="C146" s="125"/>
      <c r="D146" s="124" t="str">
        <f t="shared" si="118"/>
        <v/>
      </c>
      <c r="E146" s="124" t="str">
        <f t="shared" si="119"/>
        <v/>
      </c>
      <c r="F146" s="125" t="str">
        <f t="shared" si="120"/>
        <v/>
      </c>
      <c r="G146" s="123" t="str">
        <f t="shared" si="121"/>
        <v/>
      </c>
      <c r="H146" s="123" t="str">
        <f t="shared" si="122"/>
        <v/>
      </c>
      <c r="I146" s="124" t="str">
        <f t="shared" si="123"/>
        <v/>
      </c>
      <c r="J146" s="124" t="str">
        <f t="shared" si="124"/>
        <v/>
      </c>
      <c r="K146" s="125" t="str">
        <f t="shared" si="125"/>
        <v/>
      </c>
      <c r="L146" s="125" t="str">
        <f t="shared" si="126"/>
        <v/>
      </c>
      <c r="M146" s="123" t="str">
        <f t="shared" si="127"/>
        <v/>
      </c>
      <c r="N146" s="123" t="str">
        <f t="shared" si="128"/>
        <v/>
      </c>
      <c r="O146" s="123" t="str">
        <f t="shared" si="129"/>
        <v/>
      </c>
      <c r="P146" s="123" t="str">
        <f t="shared" si="130"/>
        <v/>
      </c>
      <c r="Q146" s="123" t="str">
        <f t="shared" si="131"/>
        <v/>
      </c>
      <c r="R146" s="123" t="str">
        <f t="shared" si="132"/>
        <v/>
      </c>
      <c r="S146" s="123" t="str">
        <f t="shared" si="133"/>
        <v/>
      </c>
      <c r="T146" s="123" t="str">
        <f t="shared" si="134"/>
        <v/>
      </c>
      <c r="U146" s="123" t="str">
        <f t="shared" si="135"/>
        <v/>
      </c>
      <c r="V146" s="123" t="str">
        <f t="shared" si="136"/>
        <v/>
      </c>
      <c r="W146" s="19" t="str">
        <f t="shared" si="137"/>
        <v/>
      </c>
      <c r="X146" s="19" t="str">
        <f t="shared" si="138"/>
        <v/>
      </c>
      <c r="Y146" s="19" t="str">
        <f t="shared" si="139"/>
        <v/>
      </c>
      <c r="Z146" s="19" t="str">
        <f t="shared" si="140"/>
        <v/>
      </c>
      <c r="AA146" s="19" t="str">
        <f t="shared" si="141"/>
        <v/>
      </c>
      <c r="AB146" s="19" t="str">
        <f t="shared" si="142"/>
        <v/>
      </c>
      <c r="AC146" s="19" t="str">
        <f t="shared" si="143"/>
        <v/>
      </c>
      <c r="AD146" s="19" t="str">
        <f t="shared" si="144"/>
        <v/>
      </c>
      <c r="AE146" s="19" t="str">
        <f t="shared" si="145"/>
        <v/>
      </c>
      <c r="AF146" s="19" t="str">
        <f t="shared" si="146"/>
        <v/>
      </c>
      <c r="AG146" s="123" t="str">
        <f t="shared" si="147"/>
        <v/>
      </c>
      <c r="AH146" s="123" t="str">
        <f t="shared" si="148"/>
        <v/>
      </c>
      <c r="AI146" s="123" t="str">
        <f t="shared" si="149"/>
        <v/>
      </c>
      <c r="AJ146" s="123" t="str">
        <f t="shared" si="150"/>
        <v/>
      </c>
      <c r="AK146" s="123" t="str">
        <f t="shared" si="151"/>
        <v/>
      </c>
      <c r="AL146" s="123" t="str">
        <f t="shared" si="152"/>
        <v/>
      </c>
      <c r="AM146" s="123" t="str">
        <f t="shared" si="153"/>
        <v/>
      </c>
      <c r="AN146" s="123" t="str">
        <f t="shared" si="154"/>
        <v/>
      </c>
      <c r="AO146" s="123" t="str">
        <f t="shared" si="155"/>
        <v/>
      </c>
      <c r="AP146" s="123" t="str">
        <f t="shared" si="156"/>
        <v/>
      </c>
      <c r="AQ146" s="131" t="str">
        <f t="shared" si="157"/>
        <v/>
      </c>
      <c r="AR146" s="123" t="str">
        <f t="shared" si="158"/>
        <v/>
      </c>
      <c r="AS146" s="1002"/>
      <c r="AT146" s="446"/>
      <c r="AU146" s="132" t="str">
        <f t="shared" si="159"/>
        <v/>
      </c>
      <c r="AV146" s="17"/>
      <c r="AW146" s="125" t="str">
        <f t="shared" si="160"/>
        <v/>
      </c>
      <c r="AX146" s="16"/>
      <c r="AY146" s="26"/>
    </row>
    <row r="147" spans="2:51">
      <c r="B147" s="512"/>
      <c r="C147" s="125"/>
      <c r="D147" s="124" t="str">
        <f t="shared" si="118"/>
        <v/>
      </c>
      <c r="E147" s="124" t="str">
        <f t="shared" si="119"/>
        <v/>
      </c>
      <c r="F147" s="125" t="str">
        <f t="shared" si="120"/>
        <v/>
      </c>
      <c r="G147" s="123" t="str">
        <f t="shared" si="121"/>
        <v/>
      </c>
      <c r="H147" s="123" t="str">
        <f t="shared" si="122"/>
        <v/>
      </c>
      <c r="I147" s="124" t="str">
        <f t="shared" si="123"/>
        <v/>
      </c>
      <c r="J147" s="124" t="str">
        <f t="shared" si="124"/>
        <v/>
      </c>
      <c r="K147" s="125" t="str">
        <f t="shared" si="125"/>
        <v/>
      </c>
      <c r="L147" s="125" t="str">
        <f t="shared" si="126"/>
        <v/>
      </c>
      <c r="M147" s="123" t="str">
        <f t="shared" si="127"/>
        <v/>
      </c>
      <c r="N147" s="123" t="str">
        <f t="shared" si="128"/>
        <v/>
      </c>
      <c r="O147" s="123" t="str">
        <f t="shared" si="129"/>
        <v/>
      </c>
      <c r="P147" s="123" t="str">
        <f t="shared" si="130"/>
        <v/>
      </c>
      <c r="Q147" s="123" t="str">
        <f t="shared" si="131"/>
        <v/>
      </c>
      <c r="R147" s="123" t="str">
        <f t="shared" si="132"/>
        <v/>
      </c>
      <c r="S147" s="123" t="str">
        <f t="shared" si="133"/>
        <v/>
      </c>
      <c r="T147" s="123" t="str">
        <f t="shared" si="134"/>
        <v/>
      </c>
      <c r="U147" s="123" t="str">
        <f t="shared" si="135"/>
        <v/>
      </c>
      <c r="V147" s="123" t="str">
        <f t="shared" si="136"/>
        <v/>
      </c>
      <c r="W147" s="19" t="str">
        <f t="shared" si="137"/>
        <v/>
      </c>
      <c r="X147" s="19" t="str">
        <f t="shared" si="138"/>
        <v/>
      </c>
      <c r="Y147" s="19" t="str">
        <f t="shared" si="139"/>
        <v/>
      </c>
      <c r="Z147" s="19" t="str">
        <f t="shared" si="140"/>
        <v/>
      </c>
      <c r="AA147" s="19" t="str">
        <f t="shared" si="141"/>
        <v/>
      </c>
      <c r="AB147" s="19" t="str">
        <f t="shared" si="142"/>
        <v/>
      </c>
      <c r="AC147" s="19" t="str">
        <f t="shared" si="143"/>
        <v/>
      </c>
      <c r="AD147" s="19" t="str">
        <f t="shared" si="144"/>
        <v/>
      </c>
      <c r="AE147" s="19" t="str">
        <f t="shared" si="145"/>
        <v/>
      </c>
      <c r="AF147" s="19" t="str">
        <f t="shared" si="146"/>
        <v/>
      </c>
      <c r="AG147" s="123" t="str">
        <f t="shared" si="147"/>
        <v/>
      </c>
      <c r="AH147" s="123" t="str">
        <f t="shared" si="148"/>
        <v/>
      </c>
      <c r="AI147" s="123" t="str">
        <f t="shared" si="149"/>
        <v/>
      </c>
      <c r="AJ147" s="123" t="str">
        <f t="shared" si="150"/>
        <v/>
      </c>
      <c r="AK147" s="123" t="str">
        <f t="shared" si="151"/>
        <v/>
      </c>
      <c r="AL147" s="123" t="str">
        <f t="shared" si="152"/>
        <v/>
      </c>
      <c r="AM147" s="123" t="str">
        <f t="shared" si="153"/>
        <v/>
      </c>
      <c r="AN147" s="123" t="str">
        <f t="shared" si="154"/>
        <v/>
      </c>
      <c r="AO147" s="123" t="str">
        <f t="shared" si="155"/>
        <v/>
      </c>
      <c r="AP147" s="123" t="str">
        <f t="shared" si="156"/>
        <v/>
      </c>
      <c r="AQ147" s="131" t="str">
        <f t="shared" si="157"/>
        <v/>
      </c>
      <c r="AR147" s="123" t="str">
        <f t="shared" si="158"/>
        <v/>
      </c>
      <c r="AS147" s="1002"/>
      <c r="AT147" s="446"/>
      <c r="AU147" s="132" t="str">
        <f t="shared" si="159"/>
        <v/>
      </c>
      <c r="AV147" s="17"/>
      <c r="AW147" s="125" t="str">
        <f t="shared" si="160"/>
        <v/>
      </c>
      <c r="AX147" s="16"/>
      <c r="AY147" s="26"/>
    </row>
    <row r="148" spans="2:51">
      <c r="B148" s="512"/>
      <c r="C148" s="125"/>
      <c r="D148" s="124" t="str">
        <f t="shared" si="118"/>
        <v/>
      </c>
      <c r="E148" s="124" t="str">
        <f t="shared" si="119"/>
        <v/>
      </c>
      <c r="F148" s="125" t="str">
        <f t="shared" si="120"/>
        <v/>
      </c>
      <c r="G148" s="123" t="str">
        <f t="shared" si="121"/>
        <v/>
      </c>
      <c r="H148" s="123" t="str">
        <f t="shared" si="122"/>
        <v/>
      </c>
      <c r="I148" s="124" t="str">
        <f t="shared" si="123"/>
        <v/>
      </c>
      <c r="J148" s="124" t="str">
        <f t="shared" si="124"/>
        <v/>
      </c>
      <c r="K148" s="125" t="str">
        <f t="shared" si="125"/>
        <v/>
      </c>
      <c r="L148" s="125" t="str">
        <f t="shared" si="126"/>
        <v/>
      </c>
      <c r="M148" s="123" t="str">
        <f t="shared" si="127"/>
        <v/>
      </c>
      <c r="N148" s="123" t="str">
        <f t="shared" si="128"/>
        <v/>
      </c>
      <c r="O148" s="123" t="str">
        <f t="shared" si="129"/>
        <v/>
      </c>
      <c r="P148" s="123" t="str">
        <f t="shared" si="130"/>
        <v/>
      </c>
      <c r="Q148" s="123" t="str">
        <f t="shared" si="131"/>
        <v/>
      </c>
      <c r="R148" s="123" t="str">
        <f t="shared" si="132"/>
        <v/>
      </c>
      <c r="S148" s="123" t="str">
        <f t="shared" si="133"/>
        <v/>
      </c>
      <c r="T148" s="123" t="str">
        <f t="shared" si="134"/>
        <v/>
      </c>
      <c r="U148" s="123" t="str">
        <f t="shared" si="135"/>
        <v/>
      </c>
      <c r="V148" s="123" t="str">
        <f t="shared" si="136"/>
        <v/>
      </c>
      <c r="W148" s="19" t="str">
        <f t="shared" si="137"/>
        <v/>
      </c>
      <c r="X148" s="19" t="str">
        <f t="shared" si="138"/>
        <v/>
      </c>
      <c r="Y148" s="19" t="str">
        <f t="shared" si="139"/>
        <v/>
      </c>
      <c r="Z148" s="19" t="str">
        <f t="shared" si="140"/>
        <v/>
      </c>
      <c r="AA148" s="19" t="str">
        <f t="shared" si="141"/>
        <v/>
      </c>
      <c r="AB148" s="19" t="str">
        <f t="shared" si="142"/>
        <v/>
      </c>
      <c r="AC148" s="19" t="str">
        <f t="shared" si="143"/>
        <v/>
      </c>
      <c r="AD148" s="19" t="str">
        <f t="shared" si="144"/>
        <v/>
      </c>
      <c r="AE148" s="19" t="str">
        <f t="shared" si="145"/>
        <v/>
      </c>
      <c r="AF148" s="19" t="str">
        <f t="shared" si="146"/>
        <v/>
      </c>
      <c r="AG148" s="123" t="str">
        <f t="shared" si="147"/>
        <v/>
      </c>
      <c r="AH148" s="123" t="str">
        <f t="shared" si="148"/>
        <v/>
      </c>
      <c r="AI148" s="123" t="str">
        <f t="shared" si="149"/>
        <v/>
      </c>
      <c r="AJ148" s="123" t="str">
        <f t="shared" si="150"/>
        <v/>
      </c>
      <c r="AK148" s="123" t="str">
        <f t="shared" si="151"/>
        <v/>
      </c>
      <c r="AL148" s="123" t="str">
        <f t="shared" si="152"/>
        <v/>
      </c>
      <c r="AM148" s="123" t="str">
        <f t="shared" si="153"/>
        <v/>
      </c>
      <c r="AN148" s="123" t="str">
        <f t="shared" si="154"/>
        <v/>
      </c>
      <c r="AO148" s="123" t="str">
        <f t="shared" si="155"/>
        <v/>
      </c>
      <c r="AP148" s="123" t="str">
        <f t="shared" si="156"/>
        <v/>
      </c>
      <c r="AQ148" s="131" t="str">
        <f t="shared" si="157"/>
        <v/>
      </c>
      <c r="AR148" s="123" t="str">
        <f t="shared" si="158"/>
        <v/>
      </c>
      <c r="AS148" s="1002"/>
      <c r="AT148" s="446"/>
      <c r="AU148" s="132" t="str">
        <f t="shared" si="159"/>
        <v/>
      </c>
      <c r="AV148" s="17"/>
      <c r="AW148" s="125" t="str">
        <f t="shared" si="160"/>
        <v/>
      </c>
      <c r="AX148" s="16"/>
      <c r="AY148" s="26"/>
    </row>
    <row r="149" spans="2:51">
      <c r="B149" s="512"/>
      <c r="C149" s="125"/>
      <c r="D149" s="124" t="str">
        <f t="shared" si="118"/>
        <v/>
      </c>
      <c r="E149" s="124" t="str">
        <f t="shared" si="119"/>
        <v/>
      </c>
      <c r="F149" s="125" t="str">
        <f t="shared" si="120"/>
        <v/>
      </c>
      <c r="G149" s="123" t="str">
        <f t="shared" si="121"/>
        <v/>
      </c>
      <c r="H149" s="123" t="str">
        <f t="shared" si="122"/>
        <v/>
      </c>
      <c r="I149" s="124" t="str">
        <f t="shared" si="123"/>
        <v/>
      </c>
      <c r="J149" s="124" t="str">
        <f t="shared" si="124"/>
        <v/>
      </c>
      <c r="K149" s="125" t="str">
        <f t="shared" si="125"/>
        <v/>
      </c>
      <c r="L149" s="125" t="str">
        <f t="shared" si="126"/>
        <v/>
      </c>
      <c r="M149" s="123" t="str">
        <f t="shared" si="127"/>
        <v/>
      </c>
      <c r="N149" s="123" t="str">
        <f t="shared" si="128"/>
        <v/>
      </c>
      <c r="O149" s="123" t="str">
        <f t="shared" si="129"/>
        <v/>
      </c>
      <c r="P149" s="123" t="str">
        <f t="shared" si="130"/>
        <v/>
      </c>
      <c r="Q149" s="123" t="str">
        <f t="shared" si="131"/>
        <v/>
      </c>
      <c r="R149" s="123" t="str">
        <f t="shared" si="132"/>
        <v/>
      </c>
      <c r="S149" s="123" t="str">
        <f t="shared" si="133"/>
        <v/>
      </c>
      <c r="T149" s="123" t="str">
        <f t="shared" si="134"/>
        <v/>
      </c>
      <c r="U149" s="123" t="str">
        <f t="shared" si="135"/>
        <v/>
      </c>
      <c r="V149" s="123" t="str">
        <f t="shared" si="136"/>
        <v/>
      </c>
      <c r="W149" s="19" t="str">
        <f t="shared" si="137"/>
        <v/>
      </c>
      <c r="X149" s="19" t="str">
        <f t="shared" si="138"/>
        <v/>
      </c>
      <c r="Y149" s="19" t="str">
        <f t="shared" si="139"/>
        <v/>
      </c>
      <c r="Z149" s="19" t="str">
        <f t="shared" si="140"/>
        <v/>
      </c>
      <c r="AA149" s="19" t="str">
        <f t="shared" si="141"/>
        <v/>
      </c>
      <c r="AB149" s="19" t="str">
        <f t="shared" si="142"/>
        <v/>
      </c>
      <c r="AC149" s="19" t="str">
        <f t="shared" si="143"/>
        <v/>
      </c>
      <c r="AD149" s="19" t="str">
        <f t="shared" si="144"/>
        <v/>
      </c>
      <c r="AE149" s="19" t="str">
        <f t="shared" si="145"/>
        <v/>
      </c>
      <c r="AF149" s="19" t="str">
        <f t="shared" si="146"/>
        <v/>
      </c>
      <c r="AG149" s="123" t="str">
        <f t="shared" si="147"/>
        <v/>
      </c>
      <c r="AH149" s="123" t="str">
        <f t="shared" si="148"/>
        <v/>
      </c>
      <c r="AI149" s="123" t="str">
        <f t="shared" si="149"/>
        <v/>
      </c>
      <c r="AJ149" s="123" t="str">
        <f t="shared" si="150"/>
        <v/>
      </c>
      <c r="AK149" s="123" t="str">
        <f t="shared" si="151"/>
        <v/>
      </c>
      <c r="AL149" s="123" t="str">
        <f t="shared" si="152"/>
        <v/>
      </c>
      <c r="AM149" s="123" t="str">
        <f t="shared" si="153"/>
        <v/>
      </c>
      <c r="AN149" s="123" t="str">
        <f t="shared" si="154"/>
        <v/>
      </c>
      <c r="AO149" s="123" t="str">
        <f t="shared" si="155"/>
        <v/>
      </c>
      <c r="AP149" s="123" t="str">
        <f t="shared" si="156"/>
        <v/>
      </c>
      <c r="AQ149" s="131" t="str">
        <f t="shared" si="157"/>
        <v/>
      </c>
      <c r="AR149" s="123" t="str">
        <f t="shared" si="158"/>
        <v/>
      </c>
      <c r="AS149" s="1002"/>
      <c r="AT149" s="446"/>
      <c r="AU149" s="132" t="str">
        <f t="shared" si="159"/>
        <v/>
      </c>
      <c r="AV149" s="17"/>
      <c r="AW149" s="125" t="str">
        <f t="shared" si="160"/>
        <v/>
      </c>
      <c r="AX149" s="16"/>
      <c r="AY149" s="26"/>
    </row>
    <row r="150" spans="2:51">
      <c r="B150" s="512"/>
      <c r="C150" s="125"/>
      <c r="D150" s="124" t="str">
        <f t="shared" si="118"/>
        <v/>
      </c>
      <c r="E150" s="124" t="str">
        <f t="shared" si="119"/>
        <v/>
      </c>
      <c r="F150" s="125" t="str">
        <f t="shared" si="120"/>
        <v/>
      </c>
      <c r="G150" s="123" t="str">
        <f t="shared" si="121"/>
        <v/>
      </c>
      <c r="H150" s="123" t="str">
        <f t="shared" si="122"/>
        <v/>
      </c>
      <c r="I150" s="124" t="str">
        <f t="shared" si="123"/>
        <v/>
      </c>
      <c r="J150" s="124" t="str">
        <f t="shared" si="124"/>
        <v/>
      </c>
      <c r="K150" s="125" t="str">
        <f t="shared" si="125"/>
        <v/>
      </c>
      <c r="L150" s="125" t="str">
        <f t="shared" si="126"/>
        <v/>
      </c>
      <c r="M150" s="123" t="str">
        <f t="shared" si="127"/>
        <v/>
      </c>
      <c r="N150" s="123" t="str">
        <f t="shared" si="128"/>
        <v/>
      </c>
      <c r="O150" s="123" t="str">
        <f t="shared" si="129"/>
        <v/>
      </c>
      <c r="P150" s="123" t="str">
        <f t="shared" si="130"/>
        <v/>
      </c>
      <c r="Q150" s="123" t="str">
        <f t="shared" si="131"/>
        <v/>
      </c>
      <c r="R150" s="123" t="str">
        <f t="shared" si="132"/>
        <v/>
      </c>
      <c r="S150" s="123" t="str">
        <f t="shared" si="133"/>
        <v/>
      </c>
      <c r="T150" s="123" t="str">
        <f t="shared" si="134"/>
        <v/>
      </c>
      <c r="U150" s="123" t="str">
        <f t="shared" si="135"/>
        <v/>
      </c>
      <c r="V150" s="123" t="str">
        <f t="shared" si="136"/>
        <v/>
      </c>
      <c r="W150" s="19" t="str">
        <f t="shared" si="137"/>
        <v/>
      </c>
      <c r="X150" s="19" t="str">
        <f t="shared" si="138"/>
        <v/>
      </c>
      <c r="Y150" s="19" t="str">
        <f t="shared" si="139"/>
        <v/>
      </c>
      <c r="Z150" s="19" t="str">
        <f t="shared" si="140"/>
        <v/>
      </c>
      <c r="AA150" s="19" t="str">
        <f t="shared" si="141"/>
        <v/>
      </c>
      <c r="AB150" s="19" t="str">
        <f t="shared" si="142"/>
        <v/>
      </c>
      <c r="AC150" s="19" t="str">
        <f t="shared" si="143"/>
        <v/>
      </c>
      <c r="AD150" s="19" t="str">
        <f t="shared" si="144"/>
        <v/>
      </c>
      <c r="AE150" s="19" t="str">
        <f t="shared" si="145"/>
        <v/>
      </c>
      <c r="AF150" s="19" t="str">
        <f t="shared" si="146"/>
        <v/>
      </c>
      <c r="AG150" s="123" t="str">
        <f t="shared" si="147"/>
        <v/>
      </c>
      <c r="AH150" s="123" t="str">
        <f t="shared" si="148"/>
        <v/>
      </c>
      <c r="AI150" s="123" t="str">
        <f t="shared" si="149"/>
        <v/>
      </c>
      <c r="AJ150" s="123" t="str">
        <f t="shared" si="150"/>
        <v/>
      </c>
      <c r="AK150" s="123" t="str">
        <f t="shared" si="151"/>
        <v/>
      </c>
      <c r="AL150" s="123" t="str">
        <f t="shared" si="152"/>
        <v/>
      </c>
      <c r="AM150" s="123" t="str">
        <f t="shared" si="153"/>
        <v/>
      </c>
      <c r="AN150" s="123" t="str">
        <f t="shared" si="154"/>
        <v/>
      </c>
      <c r="AO150" s="123" t="str">
        <f t="shared" si="155"/>
        <v/>
      </c>
      <c r="AP150" s="123" t="str">
        <f t="shared" si="156"/>
        <v/>
      </c>
      <c r="AQ150" s="131" t="str">
        <f t="shared" si="157"/>
        <v/>
      </c>
      <c r="AR150" s="123" t="str">
        <f t="shared" si="158"/>
        <v/>
      </c>
      <c r="AS150" s="1002"/>
      <c r="AT150" s="446"/>
      <c r="AU150" s="132" t="str">
        <f t="shared" si="159"/>
        <v/>
      </c>
      <c r="AV150" s="17"/>
      <c r="AW150" s="125" t="str">
        <f t="shared" si="160"/>
        <v/>
      </c>
      <c r="AX150" s="16"/>
      <c r="AY150" s="26"/>
    </row>
    <row r="151" spans="2:51">
      <c r="B151" s="512"/>
      <c r="C151" s="125"/>
      <c r="D151" s="124" t="str">
        <f t="shared" si="118"/>
        <v/>
      </c>
      <c r="E151" s="124" t="str">
        <f t="shared" si="119"/>
        <v/>
      </c>
      <c r="F151" s="125" t="str">
        <f t="shared" si="120"/>
        <v/>
      </c>
      <c r="G151" s="123" t="str">
        <f t="shared" si="121"/>
        <v/>
      </c>
      <c r="H151" s="123" t="str">
        <f t="shared" si="122"/>
        <v/>
      </c>
      <c r="I151" s="124" t="str">
        <f t="shared" si="123"/>
        <v/>
      </c>
      <c r="J151" s="124" t="str">
        <f t="shared" si="124"/>
        <v/>
      </c>
      <c r="K151" s="125" t="str">
        <f t="shared" si="125"/>
        <v/>
      </c>
      <c r="L151" s="125" t="str">
        <f t="shared" si="126"/>
        <v/>
      </c>
      <c r="M151" s="123" t="str">
        <f t="shared" si="127"/>
        <v/>
      </c>
      <c r="N151" s="123" t="str">
        <f t="shared" si="128"/>
        <v/>
      </c>
      <c r="O151" s="123" t="str">
        <f t="shared" si="129"/>
        <v/>
      </c>
      <c r="P151" s="123" t="str">
        <f t="shared" si="130"/>
        <v/>
      </c>
      <c r="Q151" s="123" t="str">
        <f t="shared" si="131"/>
        <v/>
      </c>
      <c r="R151" s="123" t="str">
        <f t="shared" si="132"/>
        <v/>
      </c>
      <c r="S151" s="123" t="str">
        <f t="shared" si="133"/>
        <v/>
      </c>
      <c r="T151" s="123" t="str">
        <f t="shared" si="134"/>
        <v/>
      </c>
      <c r="U151" s="123" t="str">
        <f t="shared" si="135"/>
        <v/>
      </c>
      <c r="V151" s="123" t="str">
        <f t="shared" si="136"/>
        <v/>
      </c>
      <c r="W151" s="19" t="str">
        <f t="shared" si="137"/>
        <v/>
      </c>
      <c r="X151" s="19" t="str">
        <f t="shared" si="138"/>
        <v/>
      </c>
      <c r="Y151" s="19" t="str">
        <f t="shared" si="139"/>
        <v/>
      </c>
      <c r="Z151" s="19" t="str">
        <f t="shared" si="140"/>
        <v/>
      </c>
      <c r="AA151" s="19" t="str">
        <f t="shared" si="141"/>
        <v/>
      </c>
      <c r="AB151" s="19" t="str">
        <f t="shared" si="142"/>
        <v/>
      </c>
      <c r="AC151" s="19" t="str">
        <f t="shared" si="143"/>
        <v/>
      </c>
      <c r="AD151" s="19" t="str">
        <f t="shared" si="144"/>
        <v/>
      </c>
      <c r="AE151" s="19" t="str">
        <f t="shared" si="145"/>
        <v/>
      </c>
      <c r="AF151" s="19" t="str">
        <f t="shared" si="146"/>
        <v/>
      </c>
      <c r="AG151" s="123" t="str">
        <f t="shared" si="147"/>
        <v/>
      </c>
      <c r="AH151" s="123" t="str">
        <f t="shared" si="148"/>
        <v/>
      </c>
      <c r="AI151" s="123" t="str">
        <f t="shared" si="149"/>
        <v/>
      </c>
      <c r="AJ151" s="123" t="str">
        <f t="shared" si="150"/>
        <v/>
      </c>
      <c r="AK151" s="123" t="str">
        <f t="shared" si="151"/>
        <v/>
      </c>
      <c r="AL151" s="123" t="str">
        <f t="shared" si="152"/>
        <v/>
      </c>
      <c r="AM151" s="123" t="str">
        <f t="shared" si="153"/>
        <v/>
      </c>
      <c r="AN151" s="123" t="str">
        <f t="shared" si="154"/>
        <v/>
      </c>
      <c r="AO151" s="123" t="str">
        <f t="shared" si="155"/>
        <v/>
      </c>
      <c r="AP151" s="123" t="str">
        <f t="shared" si="156"/>
        <v/>
      </c>
      <c r="AQ151" s="131" t="str">
        <f t="shared" si="157"/>
        <v/>
      </c>
      <c r="AR151" s="123" t="str">
        <f t="shared" si="158"/>
        <v/>
      </c>
      <c r="AS151" s="1002"/>
      <c r="AT151" s="446"/>
      <c r="AU151" s="132" t="str">
        <f t="shared" si="159"/>
        <v/>
      </c>
      <c r="AV151" s="17"/>
      <c r="AW151" s="125" t="str">
        <f t="shared" si="160"/>
        <v/>
      </c>
      <c r="AX151" s="16"/>
      <c r="AY151" s="26"/>
    </row>
    <row r="152" spans="2:51">
      <c r="B152" s="512"/>
      <c r="C152" s="125"/>
      <c r="D152" s="124" t="str">
        <f t="shared" si="118"/>
        <v/>
      </c>
      <c r="E152" s="124" t="str">
        <f t="shared" si="119"/>
        <v/>
      </c>
      <c r="F152" s="125" t="str">
        <f t="shared" si="120"/>
        <v/>
      </c>
      <c r="G152" s="123" t="str">
        <f t="shared" si="121"/>
        <v/>
      </c>
      <c r="H152" s="123" t="str">
        <f t="shared" si="122"/>
        <v/>
      </c>
      <c r="I152" s="124" t="str">
        <f t="shared" si="123"/>
        <v/>
      </c>
      <c r="J152" s="124" t="str">
        <f t="shared" si="124"/>
        <v/>
      </c>
      <c r="K152" s="125" t="str">
        <f t="shared" si="125"/>
        <v/>
      </c>
      <c r="L152" s="125" t="str">
        <f t="shared" si="126"/>
        <v/>
      </c>
      <c r="M152" s="123" t="str">
        <f t="shared" si="127"/>
        <v/>
      </c>
      <c r="N152" s="123" t="str">
        <f t="shared" si="128"/>
        <v/>
      </c>
      <c r="O152" s="123" t="str">
        <f t="shared" si="129"/>
        <v/>
      </c>
      <c r="P152" s="123" t="str">
        <f t="shared" si="130"/>
        <v/>
      </c>
      <c r="Q152" s="123" t="str">
        <f t="shared" si="131"/>
        <v/>
      </c>
      <c r="R152" s="123" t="str">
        <f t="shared" si="132"/>
        <v/>
      </c>
      <c r="S152" s="123" t="str">
        <f t="shared" si="133"/>
        <v/>
      </c>
      <c r="T152" s="123" t="str">
        <f t="shared" si="134"/>
        <v/>
      </c>
      <c r="U152" s="123" t="str">
        <f t="shared" si="135"/>
        <v/>
      </c>
      <c r="V152" s="123" t="str">
        <f t="shared" si="136"/>
        <v/>
      </c>
      <c r="W152" s="19" t="str">
        <f t="shared" si="137"/>
        <v/>
      </c>
      <c r="X152" s="19" t="str">
        <f t="shared" si="138"/>
        <v/>
      </c>
      <c r="Y152" s="19" t="str">
        <f t="shared" si="139"/>
        <v/>
      </c>
      <c r="Z152" s="19" t="str">
        <f t="shared" si="140"/>
        <v/>
      </c>
      <c r="AA152" s="19" t="str">
        <f t="shared" si="141"/>
        <v/>
      </c>
      <c r="AB152" s="19" t="str">
        <f t="shared" si="142"/>
        <v/>
      </c>
      <c r="AC152" s="19" t="str">
        <f t="shared" si="143"/>
        <v/>
      </c>
      <c r="AD152" s="19" t="str">
        <f t="shared" si="144"/>
        <v/>
      </c>
      <c r="AE152" s="19" t="str">
        <f t="shared" si="145"/>
        <v/>
      </c>
      <c r="AF152" s="19" t="str">
        <f t="shared" si="146"/>
        <v/>
      </c>
      <c r="AG152" s="123" t="str">
        <f t="shared" si="147"/>
        <v/>
      </c>
      <c r="AH152" s="123" t="str">
        <f t="shared" si="148"/>
        <v/>
      </c>
      <c r="AI152" s="123" t="str">
        <f t="shared" si="149"/>
        <v/>
      </c>
      <c r="AJ152" s="123" t="str">
        <f t="shared" si="150"/>
        <v/>
      </c>
      <c r="AK152" s="123" t="str">
        <f t="shared" si="151"/>
        <v/>
      </c>
      <c r="AL152" s="123" t="str">
        <f t="shared" si="152"/>
        <v/>
      </c>
      <c r="AM152" s="123" t="str">
        <f t="shared" si="153"/>
        <v/>
      </c>
      <c r="AN152" s="123" t="str">
        <f t="shared" si="154"/>
        <v/>
      </c>
      <c r="AO152" s="123" t="str">
        <f t="shared" si="155"/>
        <v/>
      </c>
      <c r="AP152" s="123" t="str">
        <f t="shared" si="156"/>
        <v/>
      </c>
      <c r="AQ152" s="131" t="str">
        <f t="shared" si="157"/>
        <v/>
      </c>
      <c r="AR152" s="123" t="str">
        <f t="shared" si="158"/>
        <v/>
      </c>
      <c r="AS152" s="1002"/>
      <c r="AT152" s="446"/>
      <c r="AU152" s="132" t="str">
        <f t="shared" si="159"/>
        <v/>
      </c>
      <c r="AV152" s="17"/>
      <c r="AW152" s="125" t="str">
        <f t="shared" si="160"/>
        <v/>
      </c>
      <c r="AX152" s="16"/>
      <c r="AY152" s="26"/>
    </row>
    <row r="153" spans="2:51">
      <c r="B153" s="512"/>
      <c r="C153" s="125"/>
      <c r="D153" s="124" t="str">
        <f t="shared" si="118"/>
        <v/>
      </c>
      <c r="E153" s="124" t="str">
        <f t="shared" si="119"/>
        <v/>
      </c>
      <c r="F153" s="125" t="str">
        <f t="shared" si="120"/>
        <v/>
      </c>
      <c r="G153" s="123" t="str">
        <f t="shared" si="121"/>
        <v/>
      </c>
      <c r="H153" s="123" t="str">
        <f t="shared" si="122"/>
        <v/>
      </c>
      <c r="I153" s="124" t="str">
        <f t="shared" si="123"/>
        <v/>
      </c>
      <c r="J153" s="124" t="str">
        <f t="shared" si="124"/>
        <v/>
      </c>
      <c r="K153" s="125" t="str">
        <f t="shared" si="125"/>
        <v/>
      </c>
      <c r="L153" s="125" t="str">
        <f t="shared" si="126"/>
        <v/>
      </c>
      <c r="M153" s="123" t="str">
        <f t="shared" si="127"/>
        <v/>
      </c>
      <c r="N153" s="123" t="str">
        <f t="shared" si="128"/>
        <v/>
      </c>
      <c r="O153" s="123" t="str">
        <f t="shared" si="129"/>
        <v/>
      </c>
      <c r="P153" s="123" t="str">
        <f t="shared" si="130"/>
        <v/>
      </c>
      <c r="Q153" s="123" t="str">
        <f t="shared" si="131"/>
        <v/>
      </c>
      <c r="R153" s="123" t="str">
        <f t="shared" si="132"/>
        <v/>
      </c>
      <c r="S153" s="123" t="str">
        <f t="shared" si="133"/>
        <v/>
      </c>
      <c r="T153" s="123" t="str">
        <f t="shared" si="134"/>
        <v/>
      </c>
      <c r="U153" s="123" t="str">
        <f t="shared" si="135"/>
        <v/>
      </c>
      <c r="V153" s="123" t="str">
        <f t="shared" si="136"/>
        <v/>
      </c>
      <c r="W153" s="19" t="str">
        <f t="shared" si="137"/>
        <v/>
      </c>
      <c r="X153" s="19" t="str">
        <f t="shared" si="138"/>
        <v/>
      </c>
      <c r="Y153" s="19" t="str">
        <f t="shared" si="139"/>
        <v/>
      </c>
      <c r="Z153" s="19" t="str">
        <f t="shared" si="140"/>
        <v/>
      </c>
      <c r="AA153" s="19" t="str">
        <f t="shared" si="141"/>
        <v/>
      </c>
      <c r="AB153" s="19" t="str">
        <f t="shared" si="142"/>
        <v/>
      </c>
      <c r="AC153" s="19" t="str">
        <f t="shared" si="143"/>
        <v/>
      </c>
      <c r="AD153" s="19" t="str">
        <f t="shared" si="144"/>
        <v/>
      </c>
      <c r="AE153" s="19" t="str">
        <f t="shared" si="145"/>
        <v/>
      </c>
      <c r="AF153" s="19" t="str">
        <f t="shared" si="146"/>
        <v/>
      </c>
      <c r="AG153" s="123" t="str">
        <f t="shared" si="147"/>
        <v/>
      </c>
      <c r="AH153" s="123" t="str">
        <f t="shared" si="148"/>
        <v/>
      </c>
      <c r="AI153" s="123" t="str">
        <f t="shared" si="149"/>
        <v/>
      </c>
      <c r="AJ153" s="123" t="str">
        <f t="shared" si="150"/>
        <v/>
      </c>
      <c r="AK153" s="123" t="str">
        <f t="shared" si="151"/>
        <v/>
      </c>
      <c r="AL153" s="123" t="str">
        <f t="shared" si="152"/>
        <v/>
      </c>
      <c r="AM153" s="123" t="str">
        <f t="shared" si="153"/>
        <v/>
      </c>
      <c r="AN153" s="123" t="str">
        <f t="shared" si="154"/>
        <v/>
      </c>
      <c r="AO153" s="123" t="str">
        <f t="shared" si="155"/>
        <v/>
      </c>
      <c r="AP153" s="123" t="str">
        <f t="shared" si="156"/>
        <v/>
      </c>
      <c r="AQ153" s="131" t="str">
        <f t="shared" si="157"/>
        <v/>
      </c>
      <c r="AR153" s="123" t="str">
        <f t="shared" si="158"/>
        <v/>
      </c>
      <c r="AS153" s="1002"/>
      <c r="AT153" s="446"/>
      <c r="AU153" s="132" t="str">
        <f t="shared" si="159"/>
        <v/>
      </c>
      <c r="AV153" s="17"/>
      <c r="AW153" s="125" t="str">
        <f t="shared" si="160"/>
        <v/>
      </c>
      <c r="AX153" s="16"/>
      <c r="AY153" s="26"/>
    </row>
    <row r="154" spans="2:51">
      <c r="B154" s="512"/>
      <c r="C154" s="125"/>
      <c r="D154" s="124" t="str">
        <f t="shared" si="118"/>
        <v/>
      </c>
      <c r="E154" s="124" t="str">
        <f t="shared" si="119"/>
        <v/>
      </c>
      <c r="F154" s="125" t="str">
        <f t="shared" si="120"/>
        <v/>
      </c>
      <c r="G154" s="123" t="str">
        <f t="shared" si="121"/>
        <v/>
      </c>
      <c r="H154" s="123" t="str">
        <f t="shared" si="122"/>
        <v/>
      </c>
      <c r="I154" s="124" t="str">
        <f t="shared" si="123"/>
        <v/>
      </c>
      <c r="J154" s="124" t="str">
        <f t="shared" si="124"/>
        <v/>
      </c>
      <c r="K154" s="125" t="str">
        <f t="shared" si="125"/>
        <v/>
      </c>
      <c r="L154" s="125" t="str">
        <f t="shared" si="126"/>
        <v/>
      </c>
      <c r="M154" s="123" t="str">
        <f t="shared" si="127"/>
        <v/>
      </c>
      <c r="N154" s="123" t="str">
        <f t="shared" si="128"/>
        <v/>
      </c>
      <c r="O154" s="123" t="str">
        <f t="shared" si="129"/>
        <v/>
      </c>
      <c r="P154" s="123" t="str">
        <f t="shared" si="130"/>
        <v/>
      </c>
      <c r="Q154" s="123" t="str">
        <f t="shared" si="131"/>
        <v/>
      </c>
      <c r="R154" s="123" t="str">
        <f t="shared" si="132"/>
        <v/>
      </c>
      <c r="S154" s="123" t="str">
        <f t="shared" si="133"/>
        <v/>
      </c>
      <c r="T154" s="123" t="str">
        <f t="shared" si="134"/>
        <v/>
      </c>
      <c r="U154" s="123" t="str">
        <f t="shared" si="135"/>
        <v/>
      </c>
      <c r="V154" s="123" t="str">
        <f t="shared" si="136"/>
        <v/>
      </c>
      <c r="W154" s="19" t="str">
        <f t="shared" si="137"/>
        <v/>
      </c>
      <c r="X154" s="19" t="str">
        <f t="shared" si="138"/>
        <v/>
      </c>
      <c r="Y154" s="19" t="str">
        <f t="shared" si="139"/>
        <v/>
      </c>
      <c r="Z154" s="19" t="str">
        <f t="shared" si="140"/>
        <v/>
      </c>
      <c r="AA154" s="19" t="str">
        <f t="shared" si="141"/>
        <v/>
      </c>
      <c r="AB154" s="19" t="str">
        <f t="shared" si="142"/>
        <v/>
      </c>
      <c r="AC154" s="19" t="str">
        <f t="shared" si="143"/>
        <v/>
      </c>
      <c r="AD154" s="19" t="str">
        <f t="shared" si="144"/>
        <v/>
      </c>
      <c r="AE154" s="19" t="str">
        <f t="shared" si="145"/>
        <v/>
      </c>
      <c r="AF154" s="19" t="str">
        <f t="shared" si="146"/>
        <v/>
      </c>
      <c r="AG154" s="123" t="str">
        <f t="shared" si="147"/>
        <v/>
      </c>
      <c r="AH154" s="123" t="str">
        <f t="shared" si="148"/>
        <v/>
      </c>
      <c r="AI154" s="123" t="str">
        <f t="shared" si="149"/>
        <v/>
      </c>
      <c r="AJ154" s="123" t="str">
        <f t="shared" si="150"/>
        <v/>
      </c>
      <c r="AK154" s="123" t="str">
        <f t="shared" si="151"/>
        <v/>
      </c>
      <c r="AL154" s="123" t="str">
        <f t="shared" si="152"/>
        <v/>
      </c>
      <c r="AM154" s="123" t="str">
        <f t="shared" si="153"/>
        <v/>
      </c>
      <c r="AN154" s="123" t="str">
        <f t="shared" si="154"/>
        <v/>
      </c>
      <c r="AO154" s="123" t="str">
        <f t="shared" si="155"/>
        <v/>
      </c>
      <c r="AP154" s="123" t="str">
        <f t="shared" si="156"/>
        <v/>
      </c>
      <c r="AQ154" s="131" t="str">
        <f t="shared" si="157"/>
        <v/>
      </c>
      <c r="AR154" s="123" t="str">
        <f t="shared" si="158"/>
        <v/>
      </c>
      <c r="AS154" s="1002"/>
      <c r="AT154" s="446"/>
      <c r="AU154" s="132" t="str">
        <f t="shared" si="159"/>
        <v/>
      </c>
      <c r="AV154" s="17"/>
      <c r="AW154" s="125" t="str">
        <f t="shared" si="160"/>
        <v/>
      </c>
      <c r="AX154" s="16"/>
      <c r="AY154" s="26"/>
    </row>
    <row r="155" spans="2:51">
      <c r="B155" s="512"/>
      <c r="C155" s="125"/>
      <c r="D155" s="124" t="str">
        <f t="shared" si="118"/>
        <v/>
      </c>
      <c r="E155" s="124" t="str">
        <f t="shared" si="119"/>
        <v/>
      </c>
      <c r="F155" s="125" t="str">
        <f t="shared" si="120"/>
        <v/>
      </c>
      <c r="G155" s="123" t="str">
        <f t="shared" si="121"/>
        <v/>
      </c>
      <c r="H155" s="123" t="str">
        <f t="shared" si="122"/>
        <v/>
      </c>
      <c r="I155" s="124" t="str">
        <f t="shared" si="123"/>
        <v/>
      </c>
      <c r="J155" s="124" t="str">
        <f t="shared" si="124"/>
        <v/>
      </c>
      <c r="K155" s="125" t="str">
        <f t="shared" si="125"/>
        <v/>
      </c>
      <c r="L155" s="125" t="str">
        <f t="shared" si="126"/>
        <v/>
      </c>
      <c r="M155" s="123" t="str">
        <f t="shared" si="127"/>
        <v/>
      </c>
      <c r="N155" s="123" t="str">
        <f t="shared" si="128"/>
        <v/>
      </c>
      <c r="O155" s="123" t="str">
        <f t="shared" si="129"/>
        <v/>
      </c>
      <c r="P155" s="123" t="str">
        <f t="shared" si="130"/>
        <v/>
      </c>
      <c r="Q155" s="123" t="str">
        <f t="shared" si="131"/>
        <v/>
      </c>
      <c r="R155" s="123" t="str">
        <f t="shared" si="132"/>
        <v/>
      </c>
      <c r="S155" s="123" t="str">
        <f t="shared" si="133"/>
        <v/>
      </c>
      <c r="T155" s="123" t="str">
        <f t="shared" si="134"/>
        <v/>
      </c>
      <c r="U155" s="123" t="str">
        <f t="shared" si="135"/>
        <v/>
      </c>
      <c r="V155" s="123" t="str">
        <f t="shared" si="136"/>
        <v/>
      </c>
      <c r="W155" s="19" t="str">
        <f t="shared" si="137"/>
        <v/>
      </c>
      <c r="X155" s="19" t="str">
        <f t="shared" si="138"/>
        <v/>
      </c>
      <c r="Y155" s="19" t="str">
        <f t="shared" si="139"/>
        <v/>
      </c>
      <c r="Z155" s="19" t="str">
        <f t="shared" si="140"/>
        <v/>
      </c>
      <c r="AA155" s="19" t="str">
        <f t="shared" si="141"/>
        <v/>
      </c>
      <c r="AB155" s="19" t="str">
        <f t="shared" si="142"/>
        <v/>
      </c>
      <c r="AC155" s="19" t="str">
        <f t="shared" si="143"/>
        <v/>
      </c>
      <c r="AD155" s="19" t="str">
        <f t="shared" si="144"/>
        <v/>
      </c>
      <c r="AE155" s="19" t="str">
        <f t="shared" si="145"/>
        <v/>
      </c>
      <c r="AF155" s="19" t="str">
        <f t="shared" si="146"/>
        <v/>
      </c>
      <c r="AG155" s="123" t="str">
        <f t="shared" si="147"/>
        <v/>
      </c>
      <c r="AH155" s="123" t="str">
        <f t="shared" si="148"/>
        <v/>
      </c>
      <c r="AI155" s="123" t="str">
        <f t="shared" si="149"/>
        <v/>
      </c>
      <c r="AJ155" s="123" t="str">
        <f t="shared" si="150"/>
        <v/>
      </c>
      <c r="AK155" s="123" t="str">
        <f t="shared" si="151"/>
        <v/>
      </c>
      <c r="AL155" s="123" t="str">
        <f t="shared" si="152"/>
        <v/>
      </c>
      <c r="AM155" s="123" t="str">
        <f t="shared" si="153"/>
        <v/>
      </c>
      <c r="AN155" s="123" t="str">
        <f t="shared" si="154"/>
        <v/>
      </c>
      <c r="AO155" s="123" t="str">
        <f t="shared" si="155"/>
        <v/>
      </c>
      <c r="AP155" s="123" t="str">
        <f t="shared" si="156"/>
        <v/>
      </c>
      <c r="AQ155" s="131" t="str">
        <f t="shared" si="157"/>
        <v/>
      </c>
      <c r="AR155" s="123" t="str">
        <f t="shared" si="158"/>
        <v/>
      </c>
      <c r="AS155" s="1002"/>
      <c r="AT155" s="446"/>
      <c r="AU155" s="132" t="str">
        <f t="shared" si="159"/>
        <v/>
      </c>
      <c r="AV155" s="17"/>
      <c r="AW155" s="125" t="str">
        <f t="shared" si="160"/>
        <v/>
      </c>
      <c r="AX155" s="16"/>
      <c r="AY155" s="26"/>
    </row>
    <row r="156" spans="2:51">
      <c r="B156" s="512"/>
      <c r="C156" s="125"/>
      <c r="D156" s="124" t="str">
        <f t="shared" si="118"/>
        <v/>
      </c>
      <c r="E156" s="124" t="str">
        <f t="shared" si="119"/>
        <v/>
      </c>
      <c r="F156" s="125" t="str">
        <f t="shared" si="120"/>
        <v/>
      </c>
      <c r="G156" s="123" t="str">
        <f t="shared" si="121"/>
        <v/>
      </c>
      <c r="H156" s="123" t="str">
        <f t="shared" si="122"/>
        <v/>
      </c>
      <c r="I156" s="124" t="str">
        <f t="shared" si="123"/>
        <v/>
      </c>
      <c r="J156" s="124" t="str">
        <f t="shared" si="124"/>
        <v/>
      </c>
      <c r="K156" s="125" t="str">
        <f t="shared" si="125"/>
        <v/>
      </c>
      <c r="L156" s="125" t="str">
        <f t="shared" si="126"/>
        <v/>
      </c>
      <c r="M156" s="123" t="str">
        <f t="shared" si="127"/>
        <v/>
      </c>
      <c r="N156" s="123" t="str">
        <f t="shared" si="128"/>
        <v/>
      </c>
      <c r="O156" s="123" t="str">
        <f t="shared" si="129"/>
        <v/>
      </c>
      <c r="P156" s="123" t="str">
        <f t="shared" si="130"/>
        <v/>
      </c>
      <c r="Q156" s="123" t="str">
        <f t="shared" si="131"/>
        <v/>
      </c>
      <c r="R156" s="123" t="str">
        <f t="shared" si="132"/>
        <v/>
      </c>
      <c r="S156" s="123" t="str">
        <f t="shared" si="133"/>
        <v/>
      </c>
      <c r="T156" s="123" t="str">
        <f t="shared" si="134"/>
        <v/>
      </c>
      <c r="U156" s="123" t="str">
        <f t="shared" si="135"/>
        <v/>
      </c>
      <c r="V156" s="123" t="str">
        <f t="shared" si="136"/>
        <v/>
      </c>
      <c r="W156" s="19" t="str">
        <f t="shared" si="137"/>
        <v/>
      </c>
      <c r="X156" s="19" t="str">
        <f t="shared" si="138"/>
        <v/>
      </c>
      <c r="Y156" s="19" t="str">
        <f t="shared" si="139"/>
        <v/>
      </c>
      <c r="Z156" s="19" t="str">
        <f t="shared" si="140"/>
        <v/>
      </c>
      <c r="AA156" s="19" t="str">
        <f t="shared" si="141"/>
        <v/>
      </c>
      <c r="AB156" s="19" t="str">
        <f t="shared" si="142"/>
        <v/>
      </c>
      <c r="AC156" s="19" t="str">
        <f t="shared" si="143"/>
        <v/>
      </c>
      <c r="AD156" s="19" t="str">
        <f t="shared" si="144"/>
        <v/>
      </c>
      <c r="AE156" s="19" t="str">
        <f t="shared" si="145"/>
        <v/>
      </c>
      <c r="AF156" s="19" t="str">
        <f t="shared" si="146"/>
        <v/>
      </c>
      <c r="AG156" s="123" t="str">
        <f t="shared" si="147"/>
        <v/>
      </c>
      <c r="AH156" s="123" t="str">
        <f t="shared" si="148"/>
        <v/>
      </c>
      <c r="AI156" s="123" t="str">
        <f t="shared" si="149"/>
        <v/>
      </c>
      <c r="AJ156" s="123" t="str">
        <f t="shared" si="150"/>
        <v/>
      </c>
      <c r="AK156" s="123" t="str">
        <f t="shared" si="151"/>
        <v/>
      </c>
      <c r="AL156" s="123" t="str">
        <f t="shared" si="152"/>
        <v/>
      </c>
      <c r="AM156" s="123" t="str">
        <f t="shared" si="153"/>
        <v/>
      </c>
      <c r="AN156" s="123" t="str">
        <f t="shared" si="154"/>
        <v/>
      </c>
      <c r="AO156" s="123" t="str">
        <f t="shared" si="155"/>
        <v/>
      </c>
      <c r="AP156" s="123" t="str">
        <f t="shared" si="156"/>
        <v/>
      </c>
      <c r="AQ156" s="131" t="str">
        <f t="shared" si="157"/>
        <v/>
      </c>
      <c r="AR156" s="123" t="str">
        <f t="shared" si="158"/>
        <v/>
      </c>
      <c r="AS156" s="1002"/>
      <c r="AT156" s="446"/>
      <c r="AU156" s="132" t="str">
        <f t="shared" si="159"/>
        <v/>
      </c>
      <c r="AV156" s="17"/>
      <c r="AW156" s="125" t="str">
        <f t="shared" si="160"/>
        <v/>
      </c>
      <c r="AX156" s="16"/>
      <c r="AY156" s="26"/>
    </row>
    <row r="157" spans="2:51">
      <c r="B157" s="512"/>
      <c r="C157" s="125"/>
      <c r="D157" s="124" t="str">
        <f t="shared" si="118"/>
        <v/>
      </c>
      <c r="E157" s="124" t="str">
        <f t="shared" si="119"/>
        <v/>
      </c>
      <c r="F157" s="125" t="str">
        <f t="shared" si="120"/>
        <v/>
      </c>
      <c r="G157" s="123" t="str">
        <f t="shared" si="121"/>
        <v/>
      </c>
      <c r="H157" s="123" t="str">
        <f t="shared" si="122"/>
        <v/>
      </c>
      <c r="I157" s="124" t="str">
        <f t="shared" si="123"/>
        <v/>
      </c>
      <c r="J157" s="124" t="str">
        <f t="shared" si="124"/>
        <v/>
      </c>
      <c r="K157" s="125" t="str">
        <f t="shared" si="125"/>
        <v/>
      </c>
      <c r="L157" s="125" t="str">
        <f t="shared" si="126"/>
        <v/>
      </c>
      <c r="M157" s="123" t="str">
        <f t="shared" si="127"/>
        <v/>
      </c>
      <c r="N157" s="123" t="str">
        <f t="shared" si="128"/>
        <v/>
      </c>
      <c r="O157" s="123" t="str">
        <f t="shared" si="129"/>
        <v/>
      </c>
      <c r="P157" s="123" t="str">
        <f t="shared" si="130"/>
        <v/>
      </c>
      <c r="Q157" s="123" t="str">
        <f t="shared" si="131"/>
        <v/>
      </c>
      <c r="R157" s="123" t="str">
        <f t="shared" si="132"/>
        <v/>
      </c>
      <c r="S157" s="123" t="str">
        <f t="shared" si="133"/>
        <v/>
      </c>
      <c r="T157" s="123" t="str">
        <f t="shared" si="134"/>
        <v/>
      </c>
      <c r="U157" s="123" t="str">
        <f t="shared" si="135"/>
        <v/>
      </c>
      <c r="V157" s="123" t="str">
        <f t="shared" si="136"/>
        <v/>
      </c>
      <c r="W157" s="19" t="str">
        <f t="shared" si="137"/>
        <v/>
      </c>
      <c r="X157" s="19" t="str">
        <f t="shared" si="138"/>
        <v/>
      </c>
      <c r="Y157" s="19" t="str">
        <f t="shared" si="139"/>
        <v/>
      </c>
      <c r="Z157" s="19" t="str">
        <f t="shared" si="140"/>
        <v/>
      </c>
      <c r="AA157" s="19" t="str">
        <f t="shared" si="141"/>
        <v/>
      </c>
      <c r="AB157" s="19" t="str">
        <f t="shared" si="142"/>
        <v/>
      </c>
      <c r="AC157" s="19" t="str">
        <f t="shared" si="143"/>
        <v/>
      </c>
      <c r="AD157" s="19" t="str">
        <f t="shared" si="144"/>
        <v/>
      </c>
      <c r="AE157" s="19" t="str">
        <f t="shared" si="145"/>
        <v/>
      </c>
      <c r="AF157" s="19" t="str">
        <f t="shared" si="146"/>
        <v/>
      </c>
      <c r="AG157" s="123" t="str">
        <f t="shared" si="147"/>
        <v/>
      </c>
      <c r="AH157" s="123" t="str">
        <f t="shared" si="148"/>
        <v/>
      </c>
      <c r="AI157" s="123" t="str">
        <f t="shared" si="149"/>
        <v/>
      </c>
      <c r="AJ157" s="123" t="str">
        <f t="shared" si="150"/>
        <v/>
      </c>
      <c r="AK157" s="123" t="str">
        <f t="shared" si="151"/>
        <v/>
      </c>
      <c r="AL157" s="123" t="str">
        <f t="shared" si="152"/>
        <v/>
      </c>
      <c r="AM157" s="123" t="str">
        <f t="shared" si="153"/>
        <v/>
      </c>
      <c r="AN157" s="123" t="str">
        <f t="shared" si="154"/>
        <v/>
      </c>
      <c r="AO157" s="123" t="str">
        <f t="shared" si="155"/>
        <v/>
      </c>
      <c r="AP157" s="123" t="str">
        <f t="shared" si="156"/>
        <v/>
      </c>
      <c r="AQ157" s="131" t="str">
        <f t="shared" si="157"/>
        <v/>
      </c>
      <c r="AR157" s="123" t="str">
        <f t="shared" si="158"/>
        <v/>
      </c>
      <c r="AS157" s="1002"/>
      <c r="AT157" s="446"/>
      <c r="AU157" s="132" t="str">
        <f t="shared" si="159"/>
        <v/>
      </c>
      <c r="AV157" s="17"/>
      <c r="AW157" s="125" t="str">
        <f t="shared" si="160"/>
        <v/>
      </c>
      <c r="AX157" s="16"/>
      <c r="AY157" s="26"/>
    </row>
    <row r="158" spans="2:51">
      <c r="B158" s="512"/>
      <c r="C158" s="125"/>
      <c r="D158" s="124" t="str">
        <f t="shared" si="118"/>
        <v/>
      </c>
      <c r="E158" s="124" t="str">
        <f t="shared" si="119"/>
        <v/>
      </c>
      <c r="F158" s="125" t="str">
        <f t="shared" si="120"/>
        <v/>
      </c>
      <c r="G158" s="123" t="str">
        <f t="shared" si="121"/>
        <v/>
      </c>
      <c r="H158" s="123" t="str">
        <f t="shared" si="122"/>
        <v/>
      </c>
      <c r="I158" s="124" t="str">
        <f t="shared" si="123"/>
        <v/>
      </c>
      <c r="J158" s="124" t="str">
        <f t="shared" si="124"/>
        <v/>
      </c>
      <c r="K158" s="125" t="str">
        <f t="shared" si="125"/>
        <v/>
      </c>
      <c r="L158" s="125" t="str">
        <f t="shared" si="126"/>
        <v/>
      </c>
      <c r="M158" s="123" t="str">
        <f t="shared" si="127"/>
        <v/>
      </c>
      <c r="N158" s="123" t="str">
        <f t="shared" si="128"/>
        <v/>
      </c>
      <c r="O158" s="123" t="str">
        <f t="shared" si="129"/>
        <v/>
      </c>
      <c r="P158" s="123" t="str">
        <f t="shared" si="130"/>
        <v/>
      </c>
      <c r="Q158" s="123" t="str">
        <f t="shared" si="131"/>
        <v/>
      </c>
      <c r="R158" s="123" t="str">
        <f t="shared" si="132"/>
        <v/>
      </c>
      <c r="S158" s="123" t="str">
        <f t="shared" si="133"/>
        <v/>
      </c>
      <c r="T158" s="123" t="str">
        <f t="shared" si="134"/>
        <v/>
      </c>
      <c r="U158" s="123" t="str">
        <f t="shared" si="135"/>
        <v/>
      </c>
      <c r="V158" s="123" t="str">
        <f t="shared" si="136"/>
        <v/>
      </c>
      <c r="W158" s="19" t="str">
        <f t="shared" si="137"/>
        <v/>
      </c>
      <c r="X158" s="19" t="str">
        <f t="shared" si="138"/>
        <v/>
      </c>
      <c r="Y158" s="19" t="str">
        <f t="shared" si="139"/>
        <v/>
      </c>
      <c r="Z158" s="19" t="str">
        <f t="shared" si="140"/>
        <v/>
      </c>
      <c r="AA158" s="19" t="str">
        <f t="shared" si="141"/>
        <v/>
      </c>
      <c r="AB158" s="19" t="str">
        <f t="shared" si="142"/>
        <v/>
      </c>
      <c r="AC158" s="19" t="str">
        <f t="shared" si="143"/>
        <v/>
      </c>
      <c r="AD158" s="19" t="str">
        <f t="shared" si="144"/>
        <v/>
      </c>
      <c r="AE158" s="19" t="str">
        <f t="shared" si="145"/>
        <v/>
      </c>
      <c r="AF158" s="19" t="str">
        <f t="shared" si="146"/>
        <v/>
      </c>
      <c r="AG158" s="123" t="str">
        <f t="shared" si="147"/>
        <v/>
      </c>
      <c r="AH158" s="123" t="str">
        <f t="shared" si="148"/>
        <v/>
      </c>
      <c r="AI158" s="123" t="str">
        <f t="shared" si="149"/>
        <v/>
      </c>
      <c r="AJ158" s="123" t="str">
        <f t="shared" si="150"/>
        <v/>
      </c>
      <c r="AK158" s="123" t="str">
        <f t="shared" si="151"/>
        <v/>
      </c>
      <c r="AL158" s="123" t="str">
        <f t="shared" si="152"/>
        <v/>
      </c>
      <c r="AM158" s="123" t="str">
        <f t="shared" si="153"/>
        <v/>
      </c>
      <c r="AN158" s="123" t="str">
        <f t="shared" si="154"/>
        <v/>
      </c>
      <c r="AO158" s="123" t="str">
        <f t="shared" si="155"/>
        <v/>
      </c>
      <c r="AP158" s="123" t="str">
        <f t="shared" si="156"/>
        <v/>
      </c>
      <c r="AQ158" s="131" t="str">
        <f t="shared" si="157"/>
        <v/>
      </c>
      <c r="AR158" s="123" t="str">
        <f t="shared" si="158"/>
        <v/>
      </c>
      <c r="AS158" s="1002"/>
      <c r="AT158" s="446"/>
      <c r="AU158" s="132" t="str">
        <f t="shared" si="159"/>
        <v/>
      </c>
      <c r="AV158" s="17"/>
      <c r="AW158" s="125" t="str">
        <f t="shared" si="160"/>
        <v/>
      </c>
      <c r="AX158" s="16"/>
      <c r="AY158" s="26"/>
    </row>
    <row r="159" spans="2:51">
      <c r="B159" s="512"/>
      <c r="C159" s="125"/>
      <c r="D159" s="124" t="str">
        <f t="shared" si="118"/>
        <v/>
      </c>
      <c r="E159" s="124" t="str">
        <f t="shared" si="119"/>
        <v/>
      </c>
      <c r="F159" s="125" t="str">
        <f t="shared" si="120"/>
        <v/>
      </c>
      <c r="G159" s="123" t="str">
        <f t="shared" si="121"/>
        <v/>
      </c>
      <c r="H159" s="123" t="str">
        <f t="shared" si="122"/>
        <v/>
      </c>
      <c r="I159" s="124" t="str">
        <f t="shared" si="123"/>
        <v/>
      </c>
      <c r="J159" s="124" t="str">
        <f t="shared" si="124"/>
        <v/>
      </c>
      <c r="K159" s="125" t="str">
        <f t="shared" si="125"/>
        <v/>
      </c>
      <c r="L159" s="125" t="str">
        <f t="shared" si="126"/>
        <v/>
      </c>
      <c r="M159" s="123" t="str">
        <f t="shared" si="127"/>
        <v/>
      </c>
      <c r="N159" s="123" t="str">
        <f t="shared" si="128"/>
        <v/>
      </c>
      <c r="O159" s="123" t="str">
        <f t="shared" si="129"/>
        <v/>
      </c>
      <c r="P159" s="123" t="str">
        <f t="shared" si="130"/>
        <v/>
      </c>
      <c r="Q159" s="123" t="str">
        <f t="shared" si="131"/>
        <v/>
      </c>
      <c r="R159" s="123" t="str">
        <f t="shared" si="132"/>
        <v/>
      </c>
      <c r="S159" s="123" t="str">
        <f t="shared" si="133"/>
        <v/>
      </c>
      <c r="T159" s="123" t="str">
        <f t="shared" si="134"/>
        <v/>
      </c>
      <c r="U159" s="123" t="str">
        <f t="shared" si="135"/>
        <v/>
      </c>
      <c r="V159" s="123" t="str">
        <f t="shared" si="136"/>
        <v/>
      </c>
      <c r="W159" s="19" t="str">
        <f t="shared" si="137"/>
        <v/>
      </c>
      <c r="X159" s="19" t="str">
        <f t="shared" si="138"/>
        <v/>
      </c>
      <c r="Y159" s="19" t="str">
        <f t="shared" si="139"/>
        <v/>
      </c>
      <c r="Z159" s="19" t="str">
        <f t="shared" si="140"/>
        <v/>
      </c>
      <c r="AA159" s="19" t="str">
        <f t="shared" si="141"/>
        <v/>
      </c>
      <c r="AB159" s="19" t="str">
        <f t="shared" si="142"/>
        <v/>
      </c>
      <c r="AC159" s="19" t="str">
        <f t="shared" si="143"/>
        <v/>
      </c>
      <c r="AD159" s="19" t="str">
        <f t="shared" si="144"/>
        <v/>
      </c>
      <c r="AE159" s="19" t="str">
        <f t="shared" si="145"/>
        <v/>
      </c>
      <c r="AF159" s="19" t="str">
        <f t="shared" si="146"/>
        <v/>
      </c>
      <c r="AG159" s="123" t="str">
        <f t="shared" si="147"/>
        <v/>
      </c>
      <c r="AH159" s="123" t="str">
        <f t="shared" si="148"/>
        <v/>
      </c>
      <c r="AI159" s="123" t="str">
        <f t="shared" si="149"/>
        <v/>
      </c>
      <c r="AJ159" s="123" t="str">
        <f t="shared" si="150"/>
        <v/>
      </c>
      <c r="AK159" s="123" t="str">
        <f t="shared" si="151"/>
        <v/>
      </c>
      <c r="AL159" s="123" t="str">
        <f t="shared" si="152"/>
        <v/>
      </c>
      <c r="AM159" s="123" t="str">
        <f t="shared" si="153"/>
        <v/>
      </c>
      <c r="AN159" s="123" t="str">
        <f t="shared" si="154"/>
        <v/>
      </c>
      <c r="AO159" s="123" t="str">
        <f t="shared" si="155"/>
        <v/>
      </c>
      <c r="AP159" s="123" t="str">
        <f t="shared" si="156"/>
        <v/>
      </c>
      <c r="AQ159" s="131" t="str">
        <f t="shared" si="157"/>
        <v/>
      </c>
      <c r="AR159" s="123" t="str">
        <f t="shared" si="158"/>
        <v/>
      </c>
      <c r="AS159" s="1002"/>
      <c r="AT159" s="446"/>
      <c r="AU159" s="132" t="str">
        <f t="shared" si="159"/>
        <v/>
      </c>
      <c r="AV159" s="17"/>
      <c r="AW159" s="125" t="str">
        <f t="shared" si="160"/>
        <v/>
      </c>
      <c r="AX159" s="16"/>
      <c r="AY159" s="26"/>
    </row>
    <row r="160" spans="2:51">
      <c r="B160" s="512"/>
      <c r="C160" s="125"/>
      <c r="D160" s="124" t="str">
        <f t="shared" si="118"/>
        <v/>
      </c>
      <c r="E160" s="124" t="str">
        <f t="shared" si="119"/>
        <v/>
      </c>
      <c r="F160" s="125" t="str">
        <f t="shared" si="120"/>
        <v/>
      </c>
      <c r="G160" s="123" t="str">
        <f t="shared" si="121"/>
        <v/>
      </c>
      <c r="H160" s="123" t="str">
        <f t="shared" si="122"/>
        <v/>
      </c>
      <c r="I160" s="124" t="str">
        <f t="shared" si="123"/>
        <v/>
      </c>
      <c r="J160" s="124" t="str">
        <f t="shared" si="124"/>
        <v/>
      </c>
      <c r="K160" s="125" t="str">
        <f t="shared" si="125"/>
        <v/>
      </c>
      <c r="L160" s="125" t="str">
        <f t="shared" si="126"/>
        <v/>
      </c>
      <c r="M160" s="123" t="str">
        <f t="shared" si="127"/>
        <v/>
      </c>
      <c r="N160" s="123" t="str">
        <f t="shared" si="128"/>
        <v/>
      </c>
      <c r="O160" s="123" t="str">
        <f t="shared" si="129"/>
        <v/>
      </c>
      <c r="P160" s="123" t="str">
        <f t="shared" si="130"/>
        <v/>
      </c>
      <c r="Q160" s="123" t="str">
        <f t="shared" si="131"/>
        <v/>
      </c>
      <c r="R160" s="123" t="str">
        <f t="shared" si="132"/>
        <v/>
      </c>
      <c r="S160" s="123" t="str">
        <f t="shared" si="133"/>
        <v/>
      </c>
      <c r="T160" s="123" t="str">
        <f t="shared" si="134"/>
        <v/>
      </c>
      <c r="U160" s="123" t="str">
        <f t="shared" si="135"/>
        <v/>
      </c>
      <c r="V160" s="123" t="str">
        <f t="shared" si="136"/>
        <v/>
      </c>
      <c r="W160" s="19" t="str">
        <f t="shared" si="137"/>
        <v/>
      </c>
      <c r="X160" s="19" t="str">
        <f t="shared" si="138"/>
        <v/>
      </c>
      <c r="Y160" s="19" t="str">
        <f t="shared" si="139"/>
        <v/>
      </c>
      <c r="Z160" s="19" t="str">
        <f t="shared" si="140"/>
        <v/>
      </c>
      <c r="AA160" s="19" t="str">
        <f t="shared" si="141"/>
        <v/>
      </c>
      <c r="AB160" s="19" t="str">
        <f t="shared" si="142"/>
        <v/>
      </c>
      <c r="AC160" s="19" t="str">
        <f t="shared" si="143"/>
        <v/>
      </c>
      <c r="AD160" s="19" t="str">
        <f t="shared" si="144"/>
        <v/>
      </c>
      <c r="AE160" s="19" t="str">
        <f t="shared" si="145"/>
        <v/>
      </c>
      <c r="AF160" s="19" t="str">
        <f t="shared" si="146"/>
        <v/>
      </c>
      <c r="AG160" s="123" t="str">
        <f t="shared" si="147"/>
        <v/>
      </c>
      <c r="AH160" s="123" t="str">
        <f t="shared" si="148"/>
        <v/>
      </c>
      <c r="AI160" s="123" t="str">
        <f t="shared" si="149"/>
        <v/>
      </c>
      <c r="AJ160" s="123" t="str">
        <f t="shared" si="150"/>
        <v/>
      </c>
      <c r="AK160" s="123" t="str">
        <f t="shared" si="151"/>
        <v/>
      </c>
      <c r="AL160" s="123" t="str">
        <f t="shared" si="152"/>
        <v/>
      </c>
      <c r="AM160" s="123" t="str">
        <f t="shared" si="153"/>
        <v/>
      </c>
      <c r="AN160" s="123" t="str">
        <f t="shared" si="154"/>
        <v/>
      </c>
      <c r="AO160" s="123" t="str">
        <f t="shared" si="155"/>
        <v/>
      </c>
      <c r="AP160" s="123" t="str">
        <f t="shared" si="156"/>
        <v/>
      </c>
      <c r="AQ160" s="131" t="str">
        <f t="shared" si="157"/>
        <v/>
      </c>
      <c r="AR160" s="123" t="str">
        <f t="shared" si="158"/>
        <v/>
      </c>
      <c r="AS160" s="1002"/>
      <c r="AT160" s="446"/>
      <c r="AU160" s="132" t="str">
        <f t="shared" si="159"/>
        <v/>
      </c>
      <c r="AV160" s="17"/>
      <c r="AW160" s="125" t="str">
        <f t="shared" si="160"/>
        <v/>
      </c>
      <c r="AX160" s="16"/>
      <c r="AY160" s="26"/>
    </row>
    <row r="161" spans="2:51">
      <c r="B161" s="512"/>
      <c r="C161" s="125"/>
      <c r="D161" s="124" t="str">
        <f t="shared" si="118"/>
        <v/>
      </c>
      <c r="E161" s="124" t="str">
        <f t="shared" si="119"/>
        <v/>
      </c>
      <c r="F161" s="125" t="str">
        <f t="shared" si="120"/>
        <v/>
      </c>
      <c r="G161" s="123" t="str">
        <f t="shared" si="121"/>
        <v/>
      </c>
      <c r="H161" s="123" t="str">
        <f t="shared" si="122"/>
        <v/>
      </c>
      <c r="I161" s="124" t="str">
        <f t="shared" si="123"/>
        <v/>
      </c>
      <c r="J161" s="124" t="str">
        <f t="shared" si="124"/>
        <v/>
      </c>
      <c r="K161" s="125" t="str">
        <f t="shared" si="125"/>
        <v/>
      </c>
      <c r="L161" s="125" t="str">
        <f t="shared" si="126"/>
        <v/>
      </c>
      <c r="M161" s="123" t="str">
        <f t="shared" si="127"/>
        <v/>
      </c>
      <c r="N161" s="123" t="str">
        <f t="shared" si="128"/>
        <v/>
      </c>
      <c r="O161" s="123" t="str">
        <f t="shared" si="129"/>
        <v/>
      </c>
      <c r="P161" s="123" t="str">
        <f t="shared" si="130"/>
        <v/>
      </c>
      <c r="Q161" s="123" t="str">
        <f t="shared" si="131"/>
        <v/>
      </c>
      <c r="R161" s="123" t="str">
        <f t="shared" si="132"/>
        <v/>
      </c>
      <c r="S161" s="123" t="str">
        <f t="shared" si="133"/>
        <v/>
      </c>
      <c r="T161" s="123" t="str">
        <f t="shared" si="134"/>
        <v/>
      </c>
      <c r="U161" s="123" t="str">
        <f t="shared" si="135"/>
        <v/>
      </c>
      <c r="V161" s="123" t="str">
        <f t="shared" si="136"/>
        <v/>
      </c>
      <c r="W161" s="19" t="str">
        <f t="shared" si="137"/>
        <v/>
      </c>
      <c r="X161" s="19" t="str">
        <f t="shared" si="138"/>
        <v/>
      </c>
      <c r="Y161" s="19" t="str">
        <f t="shared" si="139"/>
        <v/>
      </c>
      <c r="Z161" s="19" t="str">
        <f t="shared" si="140"/>
        <v/>
      </c>
      <c r="AA161" s="19" t="str">
        <f t="shared" si="141"/>
        <v/>
      </c>
      <c r="AB161" s="19" t="str">
        <f t="shared" si="142"/>
        <v/>
      </c>
      <c r="AC161" s="19" t="str">
        <f t="shared" si="143"/>
        <v/>
      </c>
      <c r="AD161" s="19" t="str">
        <f t="shared" si="144"/>
        <v/>
      </c>
      <c r="AE161" s="19" t="str">
        <f t="shared" si="145"/>
        <v/>
      </c>
      <c r="AF161" s="19" t="str">
        <f t="shared" si="146"/>
        <v/>
      </c>
      <c r="AG161" s="123" t="str">
        <f t="shared" si="147"/>
        <v/>
      </c>
      <c r="AH161" s="123" t="str">
        <f t="shared" si="148"/>
        <v/>
      </c>
      <c r="AI161" s="123" t="str">
        <f t="shared" si="149"/>
        <v/>
      </c>
      <c r="AJ161" s="123" t="str">
        <f t="shared" si="150"/>
        <v/>
      </c>
      <c r="AK161" s="123" t="str">
        <f t="shared" si="151"/>
        <v/>
      </c>
      <c r="AL161" s="123" t="str">
        <f t="shared" si="152"/>
        <v/>
      </c>
      <c r="AM161" s="123" t="str">
        <f t="shared" si="153"/>
        <v/>
      </c>
      <c r="AN161" s="123" t="str">
        <f t="shared" si="154"/>
        <v/>
      </c>
      <c r="AO161" s="123" t="str">
        <f t="shared" si="155"/>
        <v/>
      </c>
      <c r="AP161" s="123" t="str">
        <f t="shared" si="156"/>
        <v/>
      </c>
      <c r="AQ161" s="131" t="str">
        <f t="shared" si="157"/>
        <v/>
      </c>
      <c r="AR161" s="123" t="str">
        <f t="shared" si="158"/>
        <v/>
      </c>
      <c r="AS161" s="1002"/>
      <c r="AT161" s="446"/>
      <c r="AU161" s="132" t="str">
        <f t="shared" si="159"/>
        <v/>
      </c>
      <c r="AV161" s="17"/>
      <c r="AW161" s="125" t="str">
        <f t="shared" si="160"/>
        <v/>
      </c>
      <c r="AX161" s="16"/>
      <c r="AY161" s="26"/>
    </row>
    <row r="162" spans="2:51">
      <c r="B162" s="512"/>
      <c r="C162" s="125"/>
      <c r="D162" s="124" t="str">
        <f t="shared" si="118"/>
        <v/>
      </c>
      <c r="E162" s="124" t="str">
        <f t="shared" si="119"/>
        <v/>
      </c>
      <c r="F162" s="125" t="str">
        <f t="shared" si="120"/>
        <v/>
      </c>
      <c r="G162" s="123" t="str">
        <f t="shared" si="121"/>
        <v/>
      </c>
      <c r="H162" s="123" t="str">
        <f t="shared" si="122"/>
        <v/>
      </c>
      <c r="I162" s="124" t="str">
        <f t="shared" si="123"/>
        <v/>
      </c>
      <c r="J162" s="124" t="str">
        <f t="shared" si="124"/>
        <v/>
      </c>
      <c r="K162" s="125" t="str">
        <f t="shared" si="125"/>
        <v/>
      </c>
      <c r="L162" s="125" t="str">
        <f t="shared" si="126"/>
        <v/>
      </c>
      <c r="M162" s="123" t="str">
        <f t="shared" si="127"/>
        <v/>
      </c>
      <c r="N162" s="123" t="str">
        <f t="shared" si="128"/>
        <v/>
      </c>
      <c r="O162" s="123" t="str">
        <f t="shared" si="129"/>
        <v/>
      </c>
      <c r="P162" s="123" t="str">
        <f t="shared" si="130"/>
        <v/>
      </c>
      <c r="Q162" s="123" t="str">
        <f t="shared" si="131"/>
        <v/>
      </c>
      <c r="R162" s="123" t="str">
        <f t="shared" si="132"/>
        <v/>
      </c>
      <c r="S162" s="123" t="str">
        <f t="shared" si="133"/>
        <v/>
      </c>
      <c r="T162" s="123" t="str">
        <f t="shared" si="134"/>
        <v/>
      </c>
      <c r="U162" s="123" t="str">
        <f t="shared" si="135"/>
        <v/>
      </c>
      <c r="V162" s="123" t="str">
        <f t="shared" si="136"/>
        <v/>
      </c>
      <c r="W162" s="19" t="str">
        <f t="shared" si="137"/>
        <v/>
      </c>
      <c r="X162" s="19" t="str">
        <f t="shared" si="138"/>
        <v/>
      </c>
      <c r="Y162" s="19" t="str">
        <f t="shared" si="139"/>
        <v/>
      </c>
      <c r="Z162" s="19" t="str">
        <f t="shared" si="140"/>
        <v/>
      </c>
      <c r="AA162" s="19" t="str">
        <f t="shared" si="141"/>
        <v/>
      </c>
      <c r="AB162" s="19" t="str">
        <f t="shared" si="142"/>
        <v/>
      </c>
      <c r="AC162" s="19" t="str">
        <f t="shared" si="143"/>
        <v/>
      </c>
      <c r="AD162" s="19" t="str">
        <f t="shared" si="144"/>
        <v/>
      </c>
      <c r="AE162" s="19" t="str">
        <f t="shared" si="145"/>
        <v/>
      </c>
      <c r="AF162" s="19" t="str">
        <f t="shared" si="146"/>
        <v/>
      </c>
      <c r="AG162" s="123" t="str">
        <f t="shared" si="147"/>
        <v/>
      </c>
      <c r="AH162" s="123" t="str">
        <f t="shared" si="148"/>
        <v/>
      </c>
      <c r="AI162" s="123" t="str">
        <f t="shared" si="149"/>
        <v/>
      </c>
      <c r="AJ162" s="123" t="str">
        <f t="shared" si="150"/>
        <v/>
      </c>
      <c r="AK162" s="123" t="str">
        <f t="shared" si="151"/>
        <v/>
      </c>
      <c r="AL162" s="123" t="str">
        <f t="shared" si="152"/>
        <v/>
      </c>
      <c r="AM162" s="123" t="str">
        <f t="shared" si="153"/>
        <v/>
      </c>
      <c r="AN162" s="123" t="str">
        <f t="shared" si="154"/>
        <v/>
      </c>
      <c r="AO162" s="123" t="str">
        <f t="shared" si="155"/>
        <v/>
      </c>
      <c r="AP162" s="123" t="str">
        <f t="shared" si="156"/>
        <v/>
      </c>
      <c r="AQ162" s="131" t="str">
        <f t="shared" si="157"/>
        <v/>
      </c>
      <c r="AR162" s="123" t="str">
        <f t="shared" si="158"/>
        <v/>
      </c>
      <c r="AS162" s="1002"/>
      <c r="AT162" s="446"/>
      <c r="AU162" s="132" t="str">
        <f t="shared" si="159"/>
        <v/>
      </c>
      <c r="AV162" s="17"/>
      <c r="AW162" s="125" t="str">
        <f t="shared" si="160"/>
        <v/>
      </c>
      <c r="AX162" s="16"/>
      <c r="AY162" s="26"/>
    </row>
    <row r="163" spans="2:51">
      <c r="B163" s="512"/>
      <c r="C163" s="125"/>
      <c r="D163" s="124" t="str">
        <f t="shared" si="118"/>
        <v/>
      </c>
      <c r="E163" s="124" t="str">
        <f t="shared" si="119"/>
        <v/>
      </c>
      <c r="F163" s="125" t="str">
        <f t="shared" si="120"/>
        <v/>
      </c>
      <c r="G163" s="123" t="str">
        <f t="shared" si="121"/>
        <v/>
      </c>
      <c r="H163" s="123" t="str">
        <f t="shared" si="122"/>
        <v/>
      </c>
      <c r="I163" s="124" t="str">
        <f t="shared" si="123"/>
        <v/>
      </c>
      <c r="J163" s="124" t="str">
        <f t="shared" si="124"/>
        <v/>
      </c>
      <c r="K163" s="125" t="str">
        <f t="shared" si="125"/>
        <v/>
      </c>
      <c r="L163" s="125" t="str">
        <f t="shared" si="126"/>
        <v/>
      </c>
      <c r="M163" s="123" t="str">
        <f t="shared" si="127"/>
        <v/>
      </c>
      <c r="N163" s="123" t="str">
        <f t="shared" si="128"/>
        <v/>
      </c>
      <c r="O163" s="123" t="str">
        <f t="shared" si="129"/>
        <v/>
      </c>
      <c r="P163" s="123" t="str">
        <f t="shared" si="130"/>
        <v/>
      </c>
      <c r="Q163" s="123" t="str">
        <f t="shared" si="131"/>
        <v/>
      </c>
      <c r="R163" s="123" t="str">
        <f t="shared" si="132"/>
        <v/>
      </c>
      <c r="S163" s="123" t="str">
        <f t="shared" si="133"/>
        <v/>
      </c>
      <c r="T163" s="123" t="str">
        <f t="shared" si="134"/>
        <v/>
      </c>
      <c r="U163" s="123" t="str">
        <f t="shared" si="135"/>
        <v/>
      </c>
      <c r="V163" s="123" t="str">
        <f t="shared" si="136"/>
        <v/>
      </c>
      <c r="W163" s="19" t="str">
        <f t="shared" si="137"/>
        <v/>
      </c>
      <c r="X163" s="19" t="str">
        <f t="shared" si="138"/>
        <v/>
      </c>
      <c r="Y163" s="19" t="str">
        <f t="shared" si="139"/>
        <v/>
      </c>
      <c r="Z163" s="19" t="str">
        <f t="shared" si="140"/>
        <v/>
      </c>
      <c r="AA163" s="19" t="str">
        <f t="shared" si="141"/>
        <v/>
      </c>
      <c r="AB163" s="19" t="str">
        <f t="shared" si="142"/>
        <v/>
      </c>
      <c r="AC163" s="19" t="str">
        <f t="shared" si="143"/>
        <v/>
      </c>
      <c r="AD163" s="19" t="str">
        <f t="shared" si="144"/>
        <v/>
      </c>
      <c r="AE163" s="19" t="str">
        <f t="shared" si="145"/>
        <v/>
      </c>
      <c r="AF163" s="19" t="str">
        <f t="shared" si="146"/>
        <v/>
      </c>
      <c r="AG163" s="123" t="str">
        <f t="shared" si="147"/>
        <v/>
      </c>
      <c r="AH163" s="123" t="str">
        <f t="shared" si="148"/>
        <v/>
      </c>
      <c r="AI163" s="123" t="str">
        <f t="shared" si="149"/>
        <v/>
      </c>
      <c r="AJ163" s="123" t="str">
        <f t="shared" si="150"/>
        <v/>
      </c>
      <c r="AK163" s="123" t="str">
        <f t="shared" si="151"/>
        <v/>
      </c>
      <c r="AL163" s="123" t="str">
        <f t="shared" si="152"/>
        <v/>
      </c>
      <c r="AM163" s="123" t="str">
        <f t="shared" si="153"/>
        <v/>
      </c>
      <c r="AN163" s="123" t="str">
        <f t="shared" si="154"/>
        <v/>
      </c>
      <c r="AO163" s="123" t="str">
        <f t="shared" si="155"/>
        <v/>
      </c>
      <c r="AP163" s="123" t="str">
        <f t="shared" si="156"/>
        <v/>
      </c>
      <c r="AQ163" s="131" t="str">
        <f t="shared" si="157"/>
        <v/>
      </c>
      <c r="AR163" s="123" t="str">
        <f t="shared" si="158"/>
        <v/>
      </c>
      <c r="AS163" s="1002"/>
      <c r="AT163" s="446"/>
      <c r="AU163" s="132" t="str">
        <f t="shared" si="159"/>
        <v/>
      </c>
      <c r="AV163" s="17"/>
      <c r="AW163" s="125" t="str">
        <f t="shared" si="160"/>
        <v/>
      </c>
      <c r="AX163" s="16"/>
      <c r="AY163" s="26"/>
    </row>
    <row r="164" spans="2:51">
      <c r="B164" s="512"/>
      <c r="C164" s="125"/>
      <c r="D164" s="124" t="str">
        <f t="shared" si="118"/>
        <v/>
      </c>
      <c r="E164" s="124" t="str">
        <f t="shared" si="119"/>
        <v/>
      </c>
      <c r="F164" s="125" t="str">
        <f t="shared" si="120"/>
        <v/>
      </c>
      <c r="G164" s="123" t="str">
        <f t="shared" si="121"/>
        <v/>
      </c>
      <c r="H164" s="123" t="str">
        <f t="shared" si="122"/>
        <v/>
      </c>
      <c r="I164" s="124" t="str">
        <f t="shared" si="123"/>
        <v/>
      </c>
      <c r="J164" s="124" t="str">
        <f t="shared" si="124"/>
        <v/>
      </c>
      <c r="K164" s="125" t="str">
        <f t="shared" si="125"/>
        <v/>
      </c>
      <c r="L164" s="125" t="str">
        <f t="shared" si="126"/>
        <v/>
      </c>
      <c r="M164" s="123" t="str">
        <f t="shared" si="127"/>
        <v/>
      </c>
      <c r="N164" s="123" t="str">
        <f t="shared" si="128"/>
        <v/>
      </c>
      <c r="O164" s="123" t="str">
        <f t="shared" si="129"/>
        <v/>
      </c>
      <c r="P164" s="123" t="str">
        <f t="shared" si="130"/>
        <v/>
      </c>
      <c r="Q164" s="123" t="str">
        <f t="shared" si="131"/>
        <v/>
      </c>
      <c r="R164" s="123" t="str">
        <f t="shared" si="132"/>
        <v/>
      </c>
      <c r="S164" s="123" t="str">
        <f t="shared" si="133"/>
        <v/>
      </c>
      <c r="T164" s="123" t="str">
        <f t="shared" si="134"/>
        <v/>
      </c>
      <c r="U164" s="123" t="str">
        <f t="shared" si="135"/>
        <v/>
      </c>
      <c r="V164" s="123" t="str">
        <f t="shared" si="136"/>
        <v/>
      </c>
      <c r="W164" s="19" t="str">
        <f t="shared" si="137"/>
        <v/>
      </c>
      <c r="X164" s="19" t="str">
        <f t="shared" si="138"/>
        <v/>
      </c>
      <c r="Y164" s="19" t="str">
        <f t="shared" si="139"/>
        <v/>
      </c>
      <c r="Z164" s="19" t="str">
        <f t="shared" si="140"/>
        <v/>
      </c>
      <c r="AA164" s="19" t="str">
        <f t="shared" si="141"/>
        <v/>
      </c>
      <c r="AB164" s="19" t="str">
        <f t="shared" si="142"/>
        <v/>
      </c>
      <c r="AC164" s="19" t="str">
        <f t="shared" si="143"/>
        <v/>
      </c>
      <c r="AD164" s="19" t="str">
        <f t="shared" si="144"/>
        <v/>
      </c>
      <c r="AE164" s="19" t="str">
        <f t="shared" si="145"/>
        <v/>
      </c>
      <c r="AF164" s="19" t="str">
        <f t="shared" si="146"/>
        <v/>
      </c>
      <c r="AG164" s="123" t="str">
        <f t="shared" si="147"/>
        <v/>
      </c>
      <c r="AH164" s="123" t="str">
        <f t="shared" si="148"/>
        <v/>
      </c>
      <c r="AI164" s="123" t="str">
        <f t="shared" si="149"/>
        <v/>
      </c>
      <c r="AJ164" s="123" t="str">
        <f t="shared" si="150"/>
        <v/>
      </c>
      <c r="AK164" s="123" t="str">
        <f t="shared" si="151"/>
        <v/>
      </c>
      <c r="AL164" s="123" t="str">
        <f t="shared" si="152"/>
        <v/>
      </c>
      <c r="AM164" s="123" t="str">
        <f t="shared" si="153"/>
        <v/>
      </c>
      <c r="AN164" s="123" t="str">
        <f t="shared" si="154"/>
        <v/>
      </c>
      <c r="AO164" s="123" t="str">
        <f t="shared" si="155"/>
        <v/>
      </c>
      <c r="AP164" s="123" t="str">
        <f t="shared" si="156"/>
        <v/>
      </c>
      <c r="AQ164" s="131" t="str">
        <f t="shared" si="157"/>
        <v/>
      </c>
      <c r="AR164" s="123" t="str">
        <f t="shared" si="158"/>
        <v/>
      </c>
      <c r="AS164" s="1002"/>
      <c r="AT164" s="446"/>
      <c r="AU164" s="132" t="str">
        <f t="shared" si="159"/>
        <v/>
      </c>
      <c r="AV164" s="17"/>
      <c r="AW164" s="125" t="str">
        <f t="shared" si="160"/>
        <v/>
      </c>
      <c r="AX164" s="16"/>
      <c r="AY164" s="26"/>
    </row>
    <row r="165" spans="2:51">
      <c r="B165" s="512"/>
      <c r="C165" s="125"/>
      <c r="D165" s="124" t="str">
        <f t="shared" si="118"/>
        <v/>
      </c>
      <c r="E165" s="124" t="str">
        <f t="shared" si="119"/>
        <v/>
      </c>
      <c r="F165" s="125" t="str">
        <f t="shared" si="120"/>
        <v/>
      </c>
      <c r="G165" s="123" t="str">
        <f t="shared" si="121"/>
        <v/>
      </c>
      <c r="H165" s="123" t="str">
        <f t="shared" si="122"/>
        <v/>
      </c>
      <c r="I165" s="124" t="str">
        <f t="shared" si="123"/>
        <v/>
      </c>
      <c r="J165" s="124" t="str">
        <f t="shared" si="124"/>
        <v/>
      </c>
      <c r="K165" s="125" t="str">
        <f t="shared" si="125"/>
        <v/>
      </c>
      <c r="L165" s="125" t="str">
        <f t="shared" si="126"/>
        <v/>
      </c>
      <c r="M165" s="123" t="str">
        <f t="shared" si="127"/>
        <v/>
      </c>
      <c r="N165" s="123" t="str">
        <f t="shared" si="128"/>
        <v/>
      </c>
      <c r="O165" s="123" t="str">
        <f t="shared" si="129"/>
        <v/>
      </c>
      <c r="P165" s="123" t="str">
        <f t="shared" si="130"/>
        <v/>
      </c>
      <c r="Q165" s="123" t="str">
        <f t="shared" si="131"/>
        <v/>
      </c>
      <c r="R165" s="123" t="str">
        <f t="shared" si="132"/>
        <v/>
      </c>
      <c r="S165" s="123" t="str">
        <f t="shared" si="133"/>
        <v/>
      </c>
      <c r="T165" s="123" t="str">
        <f t="shared" si="134"/>
        <v/>
      </c>
      <c r="U165" s="123" t="str">
        <f t="shared" si="135"/>
        <v/>
      </c>
      <c r="V165" s="123" t="str">
        <f t="shared" si="136"/>
        <v/>
      </c>
      <c r="W165" s="19" t="str">
        <f t="shared" si="137"/>
        <v/>
      </c>
      <c r="X165" s="19" t="str">
        <f t="shared" si="138"/>
        <v/>
      </c>
      <c r="Y165" s="19" t="str">
        <f t="shared" si="139"/>
        <v/>
      </c>
      <c r="Z165" s="19" t="str">
        <f t="shared" si="140"/>
        <v/>
      </c>
      <c r="AA165" s="19" t="str">
        <f t="shared" si="141"/>
        <v/>
      </c>
      <c r="AB165" s="19" t="str">
        <f t="shared" si="142"/>
        <v/>
      </c>
      <c r="AC165" s="19" t="str">
        <f t="shared" si="143"/>
        <v/>
      </c>
      <c r="AD165" s="19" t="str">
        <f t="shared" si="144"/>
        <v/>
      </c>
      <c r="AE165" s="19" t="str">
        <f t="shared" si="145"/>
        <v/>
      </c>
      <c r="AF165" s="19" t="str">
        <f t="shared" si="146"/>
        <v/>
      </c>
      <c r="AG165" s="123" t="str">
        <f t="shared" si="147"/>
        <v/>
      </c>
      <c r="AH165" s="123" t="str">
        <f t="shared" si="148"/>
        <v/>
      </c>
      <c r="AI165" s="123" t="str">
        <f t="shared" si="149"/>
        <v/>
      </c>
      <c r="AJ165" s="123" t="str">
        <f t="shared" si="150"/>
        <v/>
      </c>
      <c r="AK165" s="123" t="str">
        <f t="shared" si="151"/>
        <v/>
      </c>
      <c r="AL165" s="123" t="str">
        <f t="shared" si="152"/>
        <v/>
      </c>
      <c r="AM165" s="123" t="str">
        <f t="shared" si="153"/>
        <v/>
      </c>
      <c r="AN165" s="123" t="str">
        <f t="shared" si="154"/>
        <v/>
      </c>
      <c r="AO165" s="123" t="str">
        <f t="shared" si="155"/>
        <v/>
      </c>
      <c r="AP165" s="123" t="str">
        <f t="shared" si="156"/>
        <v/>
      </c>
      <c r="AQ165" s="131" t="str">
        <f t="shared" si="157"/>
        <v/>
      </c>
      <c r="AR165" s="123" t="str">
        <f t="shared" si="158"/>
        <v/>
      </c>
      <c r="AS165" s="1002"/>
      <c r="AT165" s="446"/>
      <c r="AU165" s="132" t="str">
        <f t="shared" si="159"/>
        <v/>
      </c>
      <c r="AV165" s="17"/>
      <c r="AW165" s="125" t="str">
        <f t="shared" si="160"/>
        <v/>
      </c>
      <c r="AX165" s="16"/>
      <c r="AY165" s="26"/>
    </row>
    <row r="166" spans="2:51">
      <c r="B166" s="512"/>
      <c r="C166" s="125"/>
      <c r="D166" s="124" t="str">
        <f t="shared" si="118"/>
        <v/>
      </c>
      <c r="E166" s="124" t="str">
        <f t="shared" si="119"/>
        <v/>
      </c>
      <c r="F166" s="125" t="str">
        <f t="shared" si="120"/>
        <v/>
      </c>
      <c r="G166" s="123" t="str">
        <f t="shared" si="121"/>
        <v/>
      </c>
      <c r="H166" s="123" t="str">
        <f t="shared" si="122"/>
        <v/>
      </c>
      <c r="I166" s="124" t="str">
        <f t="shared" si="123"/>
        <v/>
      </c>
      <c r="J166" s="124" t="str">
        <f t="shared" si="124"/>
        <v/>
      </c>
      <c r="K166" s="125" t="str">
        <f t="shared" si="125"/>
        <v/>
      </c>
      <c r="L166" s="125" t="str">
        <f t="shared" si="126"/>
        <v/>
      </c>
      <c r="M166" s="123" t="str">
        <f t="shared" si="127"/>
        <v/>
      </c>
      <c r="N166" s="123" t="str">
        <f t="shared" si="128"/>
        <v/>
      </c>
      <c r="O166" s="123" t="str">
        <f t="shared" si="129"/>
        <v/>
      </c>
      <c r="P166" s="123" t="str">
        <f t="shared" si="130"/>
        <v/>
      </c>
      <c r="Q166" s="123" t="str">
        <f t="shared" si="131"/>
        <v/>
      </c>
      <c r="R166" s="123" t="str">
        <f t="shared" si="132"/>
        <v/>
      </c>
      <c r="S166" s="123" t="str">
        <f t="shared" si="133"/>
        <v/>
      </c>
      <c r="T166" s="123" t="str">
        <f t="shared" si="134"/>
        <v/>
      </c>
      <c r="U166" s="123" t="str">
        <f t="shared" si="135"/>
        <v/>
      </c>
      <c r="V166" s="123" t="str">
        <f t="shared" si="136"/>
        <v/>
      </c>
      <c r="W166" s="19" t="str">
        <f t="shared" si="137"/>
        <v/>
      </c>
      <c r="X166" s="19" t="str">
        <f t="shared" si="138"/>
        <v/>
      </c>
      <c r="Y166" s="19" t="str">
        <f t="shared" si="139"/>
        <v/>
      </c>
      <c r="Z166" s="19" t="str">
        <f t="shared" si="140"/>
        <v/>
      </c>
      <c r="AA166" s="19" t="str">
        <f t="shared" si="141"/>
        <v/>
      </c>
      <c r="AB166" s="19" t="str">
        <f t="shared" si="142"/>
        <v/>
      </c>
      <c r="AC166" s="19" t="str">
        <f t="shared" si="143"/>
        <v/>
      </c>
      <c r="AD166" s="19" t="str">
        <f t="shared" si="144"/>
        <v/>
      </c>
      <c r="AE166" s="19" t="str">
        <f t="shared" si="145"/>
        <v/>
      </c>
      <c r="AF166" s="19" t="str">
        <f t="shared" si="146"/>
        <v/>
      </c>
      <c r="AG166" s="123" t="str">
        <f t="shared" si="147"/>
        <v/>
      </c>
      <c r="AH166" s="123" t="str">
        <f t="shared" si="148"/>
        <v/>
      </c>
      <c r="AI166" s="123" t="str">
        <f t="shared" si="149"/>
        <v/>
      </c>
      <c r="AJ166" s="123" t="str">
        <f t="shared" si="150"/>
        <v/>
      </c>
      <c r="AK166" s="123" t="str">
        <f t="shared" si="151"/>
        <v/>
      </c>
      <c r="AL166" s="123" t="str">
        <f t="shared" si="152"/>
        <v/>
      </c>
      <c r="AM166" s="123" t="str">
        <f t="shared" si="153"/>
        <v/>
      </c>
      <c r="AN166" s="123" t="str">
        <f t="shared" si="154"/>
        <v/>
      </c>
      <c r="AO166" s="123" t="str">
        <f t="shared" si="155"/>
        <v/>
      </c>
      <c r="AP166" s="123" t="str">
        <f t="shared" si="156"/>
        <v/>
      </c>
      <c r="AQ166" s="131" t="str">
        <f t="shared" si="157"/>
        <v/>
      </c>
      <c r="AR166" s="123" t="str">
        <f t="shared" si="158"/>
        <v/>
      </c>
      <c r="AS166" s="1002"/>
      <c r="AT166" s="446"/>
      <c r="AU166" s="132" t="str">
        <f t="shared" si="159"/>
        <v/>
      </c>
      <c r="AV166" s="17"/>
      <c r="AW166" s="125" t="str">
        <f t="shared" si="160"/>
        <v/>
      </c>
      <c r="AX166" s="16"/>
      <c r="AY166" s="26"/>
    </row>
    <row r="167" spans="2:51">
      <c r="B167" s="512"/>
      <c r="C167" s="125"/>
      <c r="D167" s="124" t="str">
        <f t="shared" si="118"/>
        <v/>
      </c>
      <c r="E167" s="124" t="str">
        <f t="shared" si="119"/>
        <v/>
      </c>
      <c r="F167" s="125" t="str">
        <f t="shared" si="120"/>
        <v/>
      </c>
      <c r="G167" s="123" t="str">
        <f t="shared" si="121"/>
        <v/>
      </c>
      <c r="H167" s="123" t="str">
        <f t="shared" si="122"/>
        <v/>
      </c>
      <c r="I167" s="124" t="str">
        <f t="shared" si="123"/>
        <v/>
      </c>
      <c r="J167" s="124" t="str">
        <f t="shared" si="124"/>
        <v/>
      </c>
      <c r="K167" s="125" t="str">
        <f t="shared" si="125"/>
        <v/>
      </c>
      <c r="L167" s="125" t="str">
        <f t="shared" si="126"/>
        <v/>
      </c>
      <c r="M167" s="123" t="str">
        <f t="shared" si="127"/>
        <v/>
      </c>
      <c r="N167" s="123" t="str">
        <f t="shared" si="128"/>
        <v/>
      </c>
      <c r="O167" s="123" t="str">
        <f t="shared" si="129"/>
        <v/>
      </c>
      <c r="P167" s="123" t="str">
        <f t="shared" si="130"/>
        <v/>
      </c>
      <c r="Q167" s="123" t="str">
        <f t="shared" si="131"/>
        <v/>
      </c>
      <c r="R167" s="123" t="str">
        <f t="shared" si="132"/>
        <v/>
      </c>
      <c r="S167" s="123" t="str">
        <f t="shared" si="133"/>
        <v/>
      </c>
      <c r="T167" s="123" t="str">
        <f t="shared" si="134"/>
        <v/>
      </c>
      <c r="U167" s="123" t="str">
        <f t="shared" si="135"/>
        <v/>
      </c>
      <c r="V167" s="123" t="str">
        <f t="shared" si="136"/>
        <v/>
      </c>
      <c r="W167" s="19" t="str">
        <f t="shared" si="137"/>
        <v/>
      </c>
      <c r="X167" s="19" t="str">
        <f t="shared" si="138"/>
        <v/>
      </c>
      <c r="Y167" s="19" t="str">
        <f t="shared" si="139"/>
        <v/>
      </c>
      <c r="Z167" s="19" t="str">
        <f t="shared" si="140"/>
        <v/>
      </c>
      <c r="AA167" s="19" t="str">
        <f t="shared" si="141"/>
        <v/>
      </c>
      <c r="AB167" s="19" t="str">
        <f t="shared" si="142"/>
        <v/>
      </c>
      <c r="AC167" s="19" t="str">
        <f t="shared" si="143"/>
        <v/>
      </c>
      <c r="AD167" s="19" t="str">
        <f t="shared" si="144"/>
        <v/>
      </c>
      <c r="AE167" s="19" t="str">
        <f t="shared" si="145"/>
        <v/>
      </c>
      <c r="AF167" s="19" t="str">
        <f t="shared" si="146"/>
        <v/>
      </c>
      <c r="AG167" s="123" t="str">
        <f t="shared" si="147"/>
        <v/>
      </c>
      <c r="AH167" s="123" t="str">
        <f t="shared" si="148"/>
        <v/>
      </c>
      <c r="AI167" s="123" t="str">
        <f t="shared" si="149"/>
        <v/>
      </c>
      <c r="AJ167" s="123" t="str">
        <f t="shared" si="150"/>
        <v/>
      </c>
      <c r="AK167" s="123" t="str">
        <f t="shared" si="151"/>
        <v/>
      </c>
      <c r="AL167" s="123" t="str">
        <f t="shared" si="152"/>
        <v/>
      </c>
      <c r="AM167" s="123" t="str">
        <f t="shared" si="153"/>
        <v/>
      </c>
      <c r="AN167" s="123" t="str">
        <f t="shared" si="154"/>
        <v/>
      </c>
      <c r="AO167" s="123" t="str">
        <f t="shared" si="155"/>
        <v/>
      </c>
      <c r="AP167" s="123" t="str">
        <f t="shared" si="156"/>
        <v/>
      </c>
      <c r="AQ167" s="131" t="str">
        <f t="shared" si="157"/>
        <v/>
      </c>
      <c r="AR167" s="123" t="str">
        <f t="shared" si="158"/>
        <v/>
      </c>
      <c r="AS167" s="1002"/>
      <c r="AT167" s="446"/>
      <c r="AU167" s="132" t="str">
        <f t="shared" si="159"/>
        <v/>
      </c>
      <c r="AV167" s="17"/>
      <c r="AW167" s="125" t="str">
        <f t="shared" si="160"/>
        <v/>
      </c>
      <c r="AX167" s="16"/>
      <c r="AY167" s="26"/>
    </row>
    <row r="168" spans="2:51">
      <c r="B168" s="512"/>
      <c r="C168" s="125"/>
      <c r="D168" s="124" t="str">
        <f t="shared" si="118"/>
        <v/>
      </c>
      <c r="E168" s="124" t="str">
        <f t="shared" si="119"/>
        <v/>
      </c>
      <c r="F168" s="125" t="str">
        <f t="shared" si="120"/>
        <v/>
      </c>
      <c r="G168" s="123" t="str">
        <f t="shared" si="121"/>
        <v/>
      </c>
      <c r="H168" s="123" t="str">
        <f t="shared" si="122"/>
        <v/>
      </c>
      <c r="I168" s="124" t="str">
        <f t="shared" si="123"/>
        <v/>
      </c>
      <c r="J168" s="124" t="str">
        <f t="shared" si="124"/>
        <v/>
      </c>
      <c r="K168" s="125" t="str">
        <f t="shared" si="125"/>
        <v/>
      </c>
      <c r="L168" s="125" t="str">
        <f t="shared" si="126"/>
        <v/>
      </c>
      <c r="M168" s="123" t="str">
        <f t="shared" si="127"/>
        <v/>
      </c>
      <c r="N168" s="123" t="str">
        <f t="shared" si="128"/>
        <v/>
      </c>
      <c r="O168" s="123" t="str">
        <f t="shared" si="129"/>
        <v/>
      </c>
      <c r="P168" s="123" t="str">
        <f t="shared" si="130"/>
        <v/>
      </c>
      <c r="Q168" s="123" t="str">
        <f t="shared" si="131"/>
        <v/>
      </c>
      <c r="R168" s="123" t="str">
        <f t="shared" si="132"/>
        <v/>
      </c>
      <c r="S168" s="123" t="str">
        <f t="shared" si="133"/>
        <v/>
      </c>
      <c r="T168" s="123" t="str">
        <f t="shared" si="134"/>
        <v/>
      </c>
      <c r="U168" s="123" t="str">
        <f t="shared" si="135"/>
        <v/>
      </c>
      <c r="V168" s="123" t="str">
        <f t="shared" si="136"/>
        <v/>
      </c>
      <c r="W168" s="19" t="str">
        <f t="shared" si="137"/>
        <v/>
      </c>
      <c r="X168" s="19" t="str">
        <f t="shared" si="138"/>
        <v/>
      </c>
      <c r="Y168" s="19" t="str">
        <f t="shared" si="139"/>
        <v/>
      </c>
      <c r="Z168" s="19" t="str">
        <f t="shared" si="140"/>
        <v/>
      </c>
      <c r="AA168" s="19" t="str">
        <f t="shared" si="141"/>
        <v/>
      </c>
      <c r="AB168" s="19" t="str">
        <f t="shared" si="142"/>
        <v/>
      </c>
      <c r="AC168" s="19" t="str">
        <f t="shared" si="143"/>
        <v/>
      </c>
      <c r="AD168" s="19" t="str">
        <f t="shared" si="144"/>
        <v/>
      </c>
      <c r="AE168" s="19" t="str">
        <f t="shared" si="145"/>
        <v/>
      </c>
      <c r="AF168" s="19" t="str">
        <f t="shared" si="146"/>
        <v/>
      </c>
      <c r="AG168" s="123" t="str">
        <f t="shared" si="147"/>
        <v/>
      </c>
      <c r="AH168" s="123" t="str">
        <f t="shared" si="148"/>
        <v/>
      </c>
      <c r="AI168" s="123" t="str">
        <f t="shared" si="149"/>
        <v/>
      </c>
      <c r="AJ168" s="123" t="str">
        <f t="shared" si="150"/>
        <v/>
      </c>
      <c r="AK168" s="123" t="str">
        <f t="shared" si="151"/>
        <v/>
      </c>
      <c r="AL168" s="123" t="str">
        <f t="shared" si="152"/>
        <v/>
      </c>
      <c r="AM168" s="123" t="str">
        <f t="shared" si="153"/>
        <v/>
      </c>
      <c r="AN168" s="123" t="str">
        <f t="shared" si="154"/>
        <v/>
      </c>
      <c r="AO168" s="123" t="str">
        <f t="shared" si="155"/>
        <v/>
      </c>
      <c r="AP168" s="123" t="str">
        <f t="shared" si="156"/>
        <v/>
      </c>
      <c r="AQ168" s="131" t="str">
        <f t="shared" si="157"/>
        <v/>
      </c>
      <c r="AR168" s="123" t="str">
        <f t="shared" si="158"/>
        <v/>
      </c>
      <c r="AS168" s="1002"/>
      <c r="AT168" s="446"/>
      <c r="AU168" s="132" t="str">
        <f t="shared" si="159"/>
        <v/>
      </c>
      <c r="AV168" s="17"/>
      <c r="AW168" s="125" t="str">
        <f t="shared" si="160"/>
        <v/>
      </c>
      <c r="AX168" s="16"/>
      <c r="AY168" s="26"/>
    </row>
    <row r="169" spans="2:51">
      <c r="B169" s="512"/>
      <c r="C169" s="125"/>
      <c r="D169" s="124" t="str">
        <f t="shared" si="118"/>
        <v/>
      </c>
      <c r="E169" s="124" t="str">
        <f t="shared" si="119"/>
        <v/>
      </c>
      <c r="F169" s="125" t="str">
        <f t="shared" si="120"/>
        <v/>
      </c>
      <c r="G169" s="123" t="str">
        <f t="shared" si="121"/>
        <v/>
      </c>
      <c r="H169" s="123" t="str">
        <f t="shared" si="122"/>
        <v/>
      </c>
      <c r="I169" s="124" t="str">
        <f t="shared" si="123"/>
        <v/>
      </c>
      <c r="J169" s="124" t="str">
        <f t="shared" si="124"/>
        <v/>
      </c>
      <c r="K169" s="125" t="str">
        <f t="shared" si="125"/>
        <v/>
      </c>
      <c r="L169" s="125" t="str">
        <f t="shared" si="126"/>
        <v/>
      </c>
      <c r="M169" s="123" t="str">
        <f t="shared" si="127"/>
        <v/>
      </c>
      <c r="N169" s="123" t="str">
        <f t="shared" si="128"/>
        <v/>
      </c>
      <c r="O169" s="123" t="str">
        <f t="shared" si="129"/>
        <v/>
      </c>
      <c r="P169" s="123" t="str">
        <f t="shared" si="130"/>
        <v/>
      </c>
      <c r="Q169" s="123" t="str">
        <f t="shared" si="131"/>
        <v/>
      </c>
      <c r="R169" s="123" t="str">
        <f t="shared" si="132"/>
        <v/>
      </c>
      <c r="S169" s="123" t="str">
        <f t="shared" si="133"/>
        <v/>
      </c>
      <c r="T169" s="123" t="str">
        <f t="shared" si="134"/>
        <v/>
      </c>
      <c r="U169" s="123" t="str">
        <f t="shared" si="135"/>
        <v/>
      </c>
      <c r="V169" s="123" t="str">
        <f t="shared" si="136"/>
        <v/>
      </c>
      <c r="W169" s="19" t="str">
        <f t="shared" si="137"/>
        <v/>
      </c>
      <c r="X169" s="19" t="str">
        <f t="shared" si="138"/>
        <v/>
      </c>
      <c r="Y169" s="19" t="str">
        <f t="shared" si="139"/>
        <v/>
      </c>
      <c r="Z169" s="19" t="str">
        <f t="shared" si="140"/>
        <v/>
      </c>
      <c r="AA169" s="19" t="str">
        <f t="shared" si="141"/>
        <v/>
      </c>
      <c r="AB169" s="19" t="str">
        <f t="shared" si="142"/>
        <v/>
      </c>
      <c r="AC169" s="19" t="str">
        <f t="shared" si="143"/>
        <v/>
      </c>
      <c r="AD169" s="19" t="str">
        <f t="shared" si="144"/>
        <v/>
      </c>
      <c r="AE169" s="19" t="str">
        <f t="shared" si="145"/>
        <v/>
      </c>
      <c r="AF169" s="19" t="str">
        <f t="shared" si="146"/>
        <v/>
      </c>
      <c r="AG169" s="123" t="str">
        <f t="shared" si="147"/>
        <v/>
      </c>
      <c r="AH169" s="123" t="str">
        <f t="shared" si="148"/>
        <v/>
      </c>
      <c r="AI169" s="123" t="str">
        <f t="shared" si="149"/>
        <v/>
      </c>
      <c r="AJ169" s="123" t="str">
        <f t="shared" si="150"/>
        <v/>
      </c>
      <c r="AK169" s="123" t="str">
        <f t="shared" si="151"/>
        <v/>
      </c>
      <c r="AL169" s="123" t="str">
        <f t="shared" si="152"/>
        <v/>
      </c>
      <c r="AM169" s="123" t="str">
        <f t="shared" si="153"/>
        <v/>
      </c>
      <c r="AN169" s="123" t="str">
        <f t="shared" si="154"/>
        <v/>
      </c>
      <c r="AO169" s="123" t="str">
        <f t="shared" si="155"/>
        <v/>
      </c>
      <c r="AP169" s="123" t="str">
        <f t="shared" si="156"/>
        <v/>
      </c>
      <c r="AQ169" s="131" t="str">
        <f t="shared" si="157"/>
        <v/>
      </c>
      <c r="AR169" s="123" t="str">
        <f t="shared" si="158"/>
        <v/>
      </c>
      <c r="AS169" s="1002"/>
      <c r="AT169" s="446"/>
      <c r="AU169" s="132" t="str">
        <f t="shared" si="159"/>
        <v/>
      </c>
      <c r="AV169" s="17"/>
      <c r="AW169" s="125" t="str">
        <f t="shared" si="160"/>
        <v/>
      </c>
      <c r="AX169" s="16"/>
      <c r="AY169" s="26"/>
    </row>
    <row r="170" spans="2:51">
      <c r="B170" s="512"/>
      <c r="C170" s="125"/>
      <c r="D170" s="124" t="str">
        <f t="shared" si="118"/>
        <v/>
      </c>
      <c r="E170" s="124" t="str">
        <f t="shared" si="119"/>
        <v/>
      </c>
      <c r="F170" s="125" t="str">
        <f t="shared" si="120"/>
        <v/>
      </c>
      <c r="G170" s="123" t="str">
        <f t="shared" si="121"/>
        <v/>
      </c>
      <c r="H170" s="123" t="str">
        <f t="shared" si="122"/>
        <v/>
      </c>
      <c r="I170" s="124" t="str">
        <f t="shared" si="123"/>
        <v/>
      </c>
      <c r="J170" s="124" t="str">
        <f t="shared" si="124"/>
        <v/>
      </c>
      <c r="K170" s="125" t="str">
        <f t="shared" si="125"/>
        <v/>
      </c>
      <c r="L170" s="125" t="str">
        <f t="shared" si="126"/>
        <v/>
      </c>
      <c r="M170" s="123" t="str">
        <f t="shared" si="127"/>
        <v/>
      </c>
      <c r="N170" s="123" t="str">
        <f t="shared" si="128"/>
        <v/>
      </c>
      <c r="O170" s="123" t="str">
        <f t="shared" si="129"/>
        <v/>
      </c>
      <c r="P170" s="123" t="str">
        <f t="shared" si="130"/>
        <v/>
      </c>
      <c r="Q170" s="123" t="str">
        <f t="shared" si="131"/>
        <v/>
      </c>
      <c r="R170" s="123" t="str">
        <f t="shared" si="132"/>
        <v/>
      </c>
      <c r="S170" s="123" t="str">
        <f t="shared" si="133"/>
        <v/>
      </c>
      <c r="T170" s="123" t="str">
        <f t="shared" si="134"/>
        <v/>
      </c>
      <c r="U170" s="123" t="str">
        <f t="shared" si="135"/>
        <v/>
      </c>
      <c r="V170" s="123" t="str">
        <f t="shared" si="136"/>
        <v/>
      </c>
      <c r="W170" s="19" t="str">
        <f t="shared" si="137"/>
        <v/>
      </c>
      <c r="X170" s="19" t="str">
        <f t="shared" si="138"/>
        <v/>
      </c>
      <c r="Y170" s="19" t="str">
        <f t="shared" si="139"/>
        <v/>
      </c>
      <c r="Z170" s="19" t="str">
        <f t="shared" si="140"/>
        <v/>
      </c>
      <c r="AA170" s="19" t="str">
        <f t="shared" si="141"/>
        <v/>
      </c>
      <c r="AB170" s="19" t="str">
        <f t="shared" si="142"/>
        <v/>
      </c>
      <c r="AC170" s="19" t="str">
        <f t="shared" si="143"/>
        <v/>
      </c>
      <c r="AD170" s="19" t="str">
        <f t="shared" si="144"/>
        <v/>
      </c>
      <c r="AE170" s="19" t="str">
        <f t="shared" si="145"/>
        <v/>
      </c>
      <c r="AF170" s="19" t="str">
        <f t="shared" si="146"/>
        <v/>
      </c>
      <c r="AG170" s="123" t="str">
        <f t="shared" si="147"/>
        <v/>
      </c>
      <c r="AH170" s="123" t="str">
        <f t="shared" si="148"/>
        <v/>
      </c>
      <c r="AI170" s="123" t="str">
        <f t="shared" si="149"/>
        <v/>
      </c>
      <c r="AJ170" s="123" t="str">
        <f t="shared" si="150"/>
        <v/>
      </c>
      <c r="AK170" s="123" t="str">
        <f t="shared" si="151"/>
        <v/>
      </c>
      <c r="AL170" s="123" t="str">
        <f t="shared" si="152"/>
        <v/>
      </c>
      <c r="AM170" s="123" t="str">
        <f t="shared" si="153"/>
        <v/>
      </c>
      <c r="AN170" s="123" t="str">
        <f t="shared" si="154"/>
        <v/>
      </c>
      <c r="AO170" s="123" t="str">
        <f t="shared" si="155"/>
        <v/>
      </c>
      <c r="AP170" s="123" t="str">
        <f t="shared" si="156"/>
        <v/>
      </c>
      <c r="AQ170" s="131" t="str">
        <f t="shared" si="157"/>
        <v/>
      </c>
      <c r="AR170" s="123" t="str">
        <f t="shared" si="158"/>
        <v/>
      </c>
      <c r="AS170" s="1002"/>
      <c r="AT170" s="446"/>
      <c r="AU170" s="132" t="str">
        <f t="shared" si="159"/>
        <v/>
      </c>
      <c r="AV170" s="17"/>
      <c r="AW170" s="125" t="str">
        <f t="shared" si="160"/>
        <v/>
      </c>
      <c r="AX170" s="16"/>
      <c r="AY170" s="26"/>
    </row>
    <row r="171" spans="2:51">
      <c r="B171" s="512"/>
      <c r="C171" s="125"/>
      <c r="D171" s="124" t="str">
        <f t="shared" si="118"/>
        <v/>
      </c>
      <c r="E171" s="124" t="str">
        <f t="shared" si="119"/>
        <v/>
      </c>
      <c r="F171" s="125" t="str">
        <f t="shared" si="120"/>
        <v/>
      </c>
      <c r="G171" s="123" t="str">
        <f t="shared" si="121"/>
        <v/>
      </c>
      <c r="H171" s="123" t="str">
        <f t="shared" si="122"/>
        <v/>
      </c>
      <c r="I171" s="124" t="str">
        <f t="shared" si="123"/>
        <v/>
      </c>
      <c r="J171" s="124" t="str">
        <f t="shared" si="124"/>
        <v/>
      </c>
      <c r="K171" s="125" t="str">
        <f t="shared" si="125"/>
        <v/>
      </c>
      <c r="L171" s="125" t="str">
        <f t="shared" si="126"/>
        <v/>
      </c>
      <c r="M171" s="123" t="str">
        <f t="shared" si="127"/>
        <v/>
      </c>
      <c r="N171" s="123" t="str">
        <f t="shared" si="128"/>
        <v/>
      </c>
      <c r="O171" s="123" t="str">
        <f t="shared" si="129"/>
        <v/>
      </c>
      <c r="P171" s="123" t="str">
        <f t="shared" si="130"/>
        <v/>
      </c>
      <c r="Q171" s="123" t="str">
        <f t="shared" si="131"/>
        <v/>
      </c>
      <c r="R171" s="123" t="str">
        <f t="shared" si="132"/>
        <v/>
      </c>
      <c r="S171" s="123" t="str">
        <f t="shared" si="133"/>
        <v/>
      </c>
      <c r="T171" s="123" t="str">
        <f t="shared" si="134"/>
        <v/>
      </c>
      <c r="U171" s="123" t="str">
        <f t="shared" si="135"/>
        <v/>
      </c>
      <c r="V171" s="123" t="str">
        <f t="shared" si="136"/>
        <v/>
      </c>
      <c r="W171" s="19" t="str">
        <f t="shared" si="137"/>
        <v/>
      </c>
      <c r="X171" s="19" t="str">
        <f t="shared" si="138"/>
        <v/>
      </c>
      <c r="Y171" s="19" t="str">
        <f t="shared" si="139"/>
        <v/>
      </c>
      <c r="Z171" s="19" t="str">
        <f t="shared" si="140"/>
        <v/>
      </c>
      <c r="AA171" s="19" t="str">
        <f t="shared" si="141"/>
        <v/>
      </c>
      <c r="AB171" s="19" t="str">
        <f t="shared" si="142"/>
        <v/>
      </c>
      <c r="AC171" s="19" t="str">
        <f t="shared" si="143"/>
        <v/>
      </c>
      <c r="AD171" s="19" t="str">
        <f t="shared" si="144"/>
        <v/>
      </c>
      <c r="AE171" s="19" t="str">
        <f t="shared" si="145"/>
        <v/>
      </c>
      <c r="AF171" s="19" t="str">
        <f t="shared" si="146"/>
        <v/>
      </c>
      <c r="AG171" s="123" t="str">
        <f t="shared" si="147"/>
        <v/>
      </c>
      <c r="AH171" s="123" t="str">
        <f t="shared" si="148"/>
        <v/>
      </c>
      <c r="AI171" s="123" t="str">
        <f t="shared" si="149"/>
        <v/>
      </c>
      <c r="AJ171" s="123" t="str">
        <f t="shared" si="150"/>
        <v/>
      </c>
      <c r="AK171" s="123" t="str">
        <f t="shared" si="151"/>
        <v/>
      </c>
      <c r="AL171" s="123" t="str">
        <f t="shared" si="152"/>
        <v/>
      </c>
      <c r="AM171" s="123" t="str">
        <f t="shared" si="153"/>
        <v/>
      </c>
      <c r="AN171" s="123" t="str">
        <f t="shared" si="154"/>
        <v/>
      </c>
      <c r="AO171" s="123" t="str">
        <f t="shared" si="155"/>
        <v/>
      </c>
      <c r="AP171" s="123" t="str">
        <f t="shared" si="156"/>
        <v/>
      </c>
      <c r="AQ171" s="131" t="str">
        <f t="shared" si="157"/>
        <v/>
      </c>
      <c r="AR171" s="123" t="str">
        <f t="shared" si="158"/>
        <v/>
      </c>
      <c r="AS171" s="1002"/>
      <c r="AT171" s="446"/>
      <c r="AU171" s="132" t="str">
        <f t="shared" si="159"/>
        <v/>
      </c>
      <c r="AV171" s="17"/>
      <c r="AW171" s="125" t="str">
        <f t="shared" si="160"/>
        <v/>
      </c>
      <c r="AX171" s="16"/>
      <c r="AY171" s="26"/>
    </row>
    <row r="172" spans="2:51">
      <c r="B172" s="512"/>
      <c r="C172" s="125"/>
      <c r="D172" s="124" t="str">
        <f t="shared" si="118"/>
        <v/>
      </c>
      <c r="E172" s="124" t="str">
        <f t="shared" si="119"/>
        <v/>
      </c>
      <c r="F172" s="125" t="str">
        <f t="shared" si="120"/>
        <v/>
      </c>
      <c r="G172" s="123" t="str">
        <f t="shared" si="121"/>
        <v/>
      </c>
      <c r="H172" s="123" t="str">
        <f t="shared" si="122"/>
        <v/>
      </c>
      <c r="I172" s="124" t="str">
        <f t="shared" si="123"/>
        <v/>
      </c>
      <c r="J172" s="124" t="str">
        <f t="shared" si="124"/>
        <v/>
      </c>
      <c r="K172" s="125" t="str">
        <f t="shared" si="125"/>
        <v/>
      </c>
      <c r="L172" s="125" t="str">
        <f t="shared" si="126"/>
        <v/>
      </c>
      <c r="M172" s="123" t="str">
        <f t="shared" si="127"/>
        <v/>
      </c>
      <c r="N172" s="123" t="str">
        <f t="shared" si="128"/>
        <v/>
      </c>
      <c r="O172" s="123" t="str">
        <f t="shared" si="129"/>
        <v/>
      </c>
      <c r="P172" s="123" t="str">
        <f t="shared" si="130"/>
        <v/>
      </c>
      <c r="Q172" s="123" t="str">
        <f t="shared" si="131"/>
        <v/>
      </c>
      <c r="R172" s="123" t="str">
        <f t="shared" si="132"/>
        <v/>
      </c>
      <c r="S172" s="123" t="str">
        <f t="shared" si="133"/>
        <v/>
      </c>
      <c r="T172" s="123" t="str">
        <f t="shared" si="134"/>
        <v/>
      </c>
      <c r="U172" s="123" t="str">
        <f t="shared" si="135"/>
        <v/>
      </c>
      <c r="V172" s="123" t="str">
        <f t="shared" si="136"/>
        <v/>
      </c>
      <c r="W172" s="19" t="str">
        <f t="shared" si="137"/>
        <v/>
      </c>
      <c r="X172" s="19" t="str">
        <f t="shared" si="138"/>
        <v/>
      </c>
      <c r="Y172" s="19" t="str">
        <f t="shared" si="139"/>
        <v/>
      </c>
      <c r="Z172" s="19" t="str">
        <f t="shared" si="140"/>
        <v/>
      </c>
      <c r="AA172" s="19" t="str">
        <f t="shared" si="141"/>
        <v/>
      </c>
      <c r="AB172" s="19" t="str">
        <f t="shared" si="142"/>
        <v/>
      </c>
      <c r="AC172" s="19" t="str">
        <f t="shared" si="143"/>
        <v/>
      </c>
      <c r="AD172" s="19" t="str">
        <f t="shared" si="144"/>
        <v/>
      </c>
      <c r="AE172" s="19" t="str">
        <f t="shared" si="145"/>
        <v/>
      </c>
      <c r="AF172" s="19" t="str">
        <f t="shared" si="146"/>
        <v/>
      </c>
      <c r="AG172" s="123" t="str">
        <f t="shared" si="147"/>
        <v/>
      </c>
      <c r="AH172" s="123" t="str">
        <f t="shared" si="148"/>
        <v/>
      </c>
      <c r="AI172" s="123" t="str">
        <f t="shared" si="149"/>
        <v/>
      </c>
      <c r="AJ172" s="123" t="str">
        <f t="shared" si="150"/>
        <v/>
      </c>
      <c r="AK172" s="123" t="str">
        <f t="shared" si="151"/>
        <v/>
      </c>
      <c r="AL172" s="123" t="str">
        <f t="shared" si="152"/>
        <v/>
      </c>
      <c r="AM172" s="123" t="str">
        <f t="shared" si="153"/>
        <v/>
      </c>
      <c r="AN172" s="123" t="str">
        <f t="shared" si="154"/>
        <v/>
      </c>
      <c r="AO172" s="123" t="str">
        <f t="shared" si="155"/>
        <v/>
      </c>
      <c r="AP172" s="123" t="str">
        <f t="shared" si="156"/>
        <v/>
      </c>
      <c r="AQ172" s="131" t="str">
        <f t="shared" si="157"/>
        <v/>
      </c>
      <c r="AR172" s="123" t="str">
        <f t="shared" si="158"/>
        <v/>
      </c>
      <c r="AS172" s="1002"/>
      <c r="AT172" s="446"/>
      <c r="AU172" s="132" t="str">
        <f t="shared" si="159"/>
        <v/>
      </c>
      <c r="AV172" s="17"/>
      <c r="AW172" s="125" t="str">
        <f t="shared" si="160"/>
        <v/>
      </c>
      <c r="AX172" s="16"/>
      <c r="AY172" s="26"/>
    </row>
    <row r="173" spans="2:51">
      <c r="B173" s="512"/>
      <c r="C173" s="125"/>
      <c r="D173" s="124" t="str">
        <f t="shared" si="118"/>
        <v/>
      </c>
      <c r="E173" s="124" t="str">
        <f t="shared" si="119"/>
        <v/>
      </c>
      <c r="F173" s="125" t="str">
        <f t="shared" si="120"/>
        <v/>
      </c>
      <c r="G173" s="123" t="str">
        <f t="shared" si="121"/>
        <v/>
      </c>
      <c r="H173" s="123" t="str">
        <f t="shared" si="122"/>
        <v/>
      </c>
      <c r="I173" s="124" t="str">
        <f t="shared" si="123"/>
        <v/>
      </c>
      <c r="J173" s="124" t="str">
        <f t="shared" si="124"/>
        <v/>
      </c>
      <c r="K173" s="125" t="str">
        <f t="shared" si="125"/>
        <v/>
      </c>
      <c r="L173" s="125" t="str">
        <f t="shared" si="126"/>
        <v/>
      </c>
      <c r="M173" s="123" t="str">
        <f t="shared" si="127"/>
        <v/>
      </c>
      <c r="N173" s="123" t="str">
        <f t="shared" si="128"/>
        <v/>
      </c>
      <c r="O173" s="123" t="str">
        <f t="shared" si="129"/>
        <v/>
      </c>
      <c r="P173" s="123" t="str">
        <f t="shared" si="130"/>
        <v/>
      </c>
      <c r="Q173" s="123" t="str">
        <f t="shared" si="131"/>
        <v/>
      </c>
      <c r="R173" s="123" t="str">
        <f t="shared" si="132"/>
        <v/>
      </c>
      <c r="S173" s="123" t="str">
        <f t="shared" si="133"/>
        <v/>
      </c>
      <c r="T173" s="123" t="str">
        <f t="shared" si="134"/>
        <v/>
      </c>
      <c r="U173" s="123" t="str">
        <f t="shared" si="135"/>
        <v/>
      </c>
      <c r="V173" s="123" t="str">
        <f t="shared" si="136"/>
        <v/>
      </c>
      <c r="W173" s="19" t="str">
        <f t="shared" si="137"/>
        <v/>
      </c>
      <c r="X173" s="19" t="str">
        <f t="shared" si="138"/>
        <v/>
      </c>
      <c r="Y173" s="19" t="str">
        <f t="shared" si="139"/>
        <v/>
      </c>
      <c r="Z173" s="19" t="str">
        <f t="shared" si="140"/>
        <v/>
      </c>
      <c r="AA173" s="19" t="str">
        <f t="shared" si="141"/>
        <v/>
      </c>
      <c r="AB173" s="19" t="str">
        <f t="shared" si="142"/>
        <v/>
      </c>
      <c r="AC173" s="19" t="str">
        <f t="shared" si="143"/>
        <v/>
      </c>
      <c r="AD173" s="19" t="str">
        <f t="shared" si="144"/>
        <v/>
      </c>
      <c r="AE173" s="19" t="str">
        <f t="shared" si="145"/>
        <v/>
      </c>
      <c r="AF173" s="19" t="str">
        <f t="shared" si="146"/>
        <v/>
      </c>
      <c r="AG173" s="123" t="str">
        <f t="shared" si="147"/>
        <v/>
      </c>
      <c r="AH173" s="123" t="str">
        <f t="shared" si="148"/>
        <v/>
      </c>
      <c r="AI173" s="123" t="str">
        <f t="shared" si="149"/>
        <v/>
      </c>
      <c r="AJ173" s="123" t="str">
        <f t="shared" si="150"/>
        <v/>
      </c>
      <c r="AK173" s="123" t="str">
        <f t="shared" si="151"/>
        <v/>
      </c>
      <c r="AL173" s="123" t="str">
        <f t="shared" si="152"/>
        <v/>
      </c>
      <c r="AM173" s="123" t="str">
        <f t="shared" si="153"/>
        <v/>
      </c>
      <c r="AN173" s="123" t="str">
        <f t="shared" si="154"/>
        <v/>
      </c>
      <c r="AO173" s="123" t="str">
        <f t="shared" si="155"/>
        <v/>
      </c>
      <c r="AP173" s="123" t="str">
        <f t="shared" si="156"/>
        <v/>
      </c>
      <c r="AQ173" s="131" t="str">
        <f t="shared" si="157"/>
        <v/>
      </c>
      <c r="AR173" s="123" t="str">
        <f t="shared" si="158"/>
        <v/>
      </c>
      <c r="AS173" s="1002"/>
      <c r="AT173" s="446"/>
      <c r="AU173" s="132" t="str">
        <f t="shared" si="159"/>
        <v/>
      </c>
      <c r="AV173" s="17"/>
      <c r="AW173" s="125" t="str">
        <f t="shared" si="160"/>
        <v/>
      </c>
      <c r="AX173" s="16"/>
      <c r="AY173" s="26"/>
    </row>
    <row r="174" spans="2:51">
      <c r="B174" s="512"/>
      <c r="C174" s="125"/>
      <c r="D174" s="124" t="str">
        <f t="shared" si="118"/>
        <v/>
      </c>
      <c r="E174" s="124" t="str">
        <f t="shared" si="119"/>
        <v/>
      </c>
      <c r="F174" s="125" t="str">
        <f t="shared" si="120"/>
        <v/>
      </c>
      <c r="G174" s="123" t="str">
        <f t="shared" si="121"/>
        <v/>
      </c>
      <c r="H174" s="123" t="str">
        <f t="shared" si="122"/>
        <v/>
      </c>
      <c r="I174" s="124" t="str">
        <f t="shared" si="123"/>
        <v/>
      </c>
      <c r="J174" s="124" t="str">
        <f t="shared" si="124"/>
        <v/>
      </c>
      <c r="K174" s="125" t="str">
        <f t="shared" si="125"/>
        <v/>
      </c>
      <c r="L174" s="125" t="str">
        <f t="shared" si="126"/>
        <v/>
      </c>
      <c r="M174" s="123" t="str">
        <f t="shared" si="127"/>
        <v/>
      </c>
      <c r="N174" s="123" t="str">
        <f t="shared" si="128"/>
        <v/>
      </c>
      <c r="O174" s="123" t="str">
        <f t="shared" si="129"/>
        <v/>
      </c>
      <c r="P174" s="123" t="str">
        <f t="shared" si="130"/>
        <v/>
      </c>
      <c r="Q174" s="123" t="str">
        <f t="shared" si="131"/>
        <v/>
      </c>
      <c r="R174" s="123" t="str">
        <f t="shared" si="132"/>
        <v/>
      </c>
      <c r="S174" s="123" t="str">
        <f t="shared" si="133"/>
        <v/>
      </c>
      <c r="T174" s="123" t="str">
        <f t="shared" si="134"/>
        <v/>
      </c>
      <c r="U174" s="123" t="str">
        <f t="shared" si="135"/>
        <v/>
      </c>
      <c r="V174" s="123" t="str">
        <f t="shared" si="136"/>
        <v/>
      </c>
      <c r="W174" s="19" t="str">
        <f t="shared" si="137"/>
        <v/>
      </c>
      <c r="X174" s="19" t="str">
        <f t="shared" si="138"/>
        <v/>
      </c>
      <c r="Y174" s="19" t="str">
        <f t="shared" si="139"/>
        <v/>
      </c>
      <c r="Z174" s="19" t="str">
        <f t="shared" si="140"/>
        <v/>
      </c>
      <c r="AA174" s="19" t="str">
        <f t="shared" si="141"/>
        <v/>
      </c>
      <c r="AB174" s="19" t="str">
        <f t="shared" si="142"/>
        <v/>
      </c>
      <c r="AC174" s="19" t="str">
        <f t="shared" si="143"/>
        <v/>
      </c>
      <c r="AD174" s="19" t="str">
        <f t="shared" si="144"/>
        <v/>
      </c>
      <c r="AE174" s="19" t="str">
        <f t="shared" si="145"/>
        <v/>
      </c>
      <c r="AF174" s="19" t="str">
        <f t="shared" si="146"/>
        <v/>
      </c>
      <c r="AG174" s="123" t="str">
        <f t="shared" si="147"/>
        <v/>
      </c>
      <c r="AH174" s="123" t="str">
        <f t="shared" si="148"/>
        <v/>
      </c>
      <c r="AI174" s="123" t="str">
        <f t="shared" si="149"/>
        <v/>
      </c>
      <c r="AJ174" s="123" t="str">
        <f t="shared" si="150"/>
        <v/>
      </c>
      <c r="AK174" s="123" t="str">
        <f t="shared" si="151"/>
        <v/>
      </c>
      <c r="AL174" s="123" t="str">
        <f t="shared" si="152"/>
        <v/>
      </c>
      <c r="AM174" s="123" t="str">
        <f t="shared" si="153"/>
        <v/>
      </c>
      <c r="AN174" s="123" t="str">
        <f t="shared" si="154"/>
        <v/>
      </c>
      <c r="AO174" s="123" t="str">
        <f t="shared" si="155"/>
        <v/>
      </c>
      <c r="AP174" s="123" t="str">
        <f t="shared" si="156"/>
        <v/>
      </c>
      <c r="AQ174" s="131" t="str">
        <f t="shared" si="157"/>
        <v/>
      </c>
      <c r="AR174" s="123" t="str">
        <f t="shared" si="158"/>
        <v/>
      </c>
      <c r="AS174" s="1002"/>
      <c r="AT174" s="446"/>
      <c r="AU174" s="132" t="str">
        <f t="shared" si="159"/>
        <v/>
      </c>
      <c r="AV174" s="17"/>
      <c r="AW174" s="125" t="str">
        <f t="shared" si="160"/>
        <v/>
      </c>
      <c r="AX174" s="16"/>
      <c r="AY174" s="26"/>
    </row>
    <row r="175" spans="2:51">
      <c r="B175" s="512"/>
      <c r="C175" s="125"/>
      <c r="D175" s="124" t="str">
        <f t="shared" si="118"/>
        <v/>
      </c>
      <c r="E175" s="124" t="str">
        <f t="shared" si="119"/>
        <v/>
      </c>
      <c r="F175" s="125" t="str">
        <f t="shared" si="120"/>
        <v/>
      </c>
      <c r="G175" s="123" t="str">
        <f t="shared" si="121"/>
        <v/>
      </c>
      <c r="H175" s="123" t="str">
        <f t="shared" si="122"/>
        <v/>
      </c>
      <c r="I175" s="124" t="str">
        <f t="shared" si="123"/>
        <v/>
      </c>
      <c r="J175" s="124" t="str">
        <f t="shared" si="124"/>
        <v/>
      </c>
      <c r="K175" s="125" t="str">
        <f t="shared" si="125"/>
        <v/>
      </c>
      <c r="L175" s="125" t="str">
        <f t="shared" si="126"/>
        <v/>
      </c>
      <c r="M175" s="123" t="str">
        <f t="shared" si="127"/>
        <v/>
      </c>
      <c r="N175" s="123" t="str">
        <f t="shared" si="128"/>
        <v/>
      </c>
      <c r="O175" s="123" t="str">
        <f t="shared" si="129"/>
        <v/>
      </c>
      <c r="P175" s="123" t="str">
        <f t="shared" si="130"/>
        <v/>
      </c>
      <c r="Q175" s="123" t="str">
        <f t="shared" si="131"/>
        <v/>
      </c>
      <c r="R175" s="123" t="str">
        <f t="shared" si="132"/>
        <v/>
      </c>
      <c r="S175" s="123" t="str">
        <f t="shared" si="133"/>
        <v/>
      </c>
      <c r="T175" s="123" t="str">
        <f t="shared" si="134"/>
        <v/>
      </c>
      <c r="U175" s="123" t="str">
        <f t="shared" si="135"/>
        <v/>
      </c>
      <c r="V175" s="123" t="str">
        <f t="shared" si="136"/>
        <v/>
      </c>
      <c r="W175" s="19" t="str">
        <f t="shared" si="137"/>
        <v/>
      </c>
      <c r="X175" s="19" t="str">
        <f t="shared" si="138"/>
        <v/>
      </c>
      <c r="Y175" s="19" t="str">
        <f t="shared" si="139"/>
        <v/>
      </c>
      <c r="Z175" s="19" t="str">
        <f t="shared" si="140"/>
        <v/>
      </c>
      <c r="AA175" s="19" t="str">
        <f t="shared" si="141"/>
        <v/>
      </c>
      <c r="AB175" s="19" t="str">
        <f t="shared" si="142"/>
        <v/>
      </c>
      <c r="AC175" s="19" t="str">
        <f t="shared" si="143"/>
        <v/>
      </c>
      <c r="AD175" s="19" t="str">
        <f t="shared" si="144"/>
        <v/>
      </c>
      <c r="AE175" s="19" t="str">
        <f t="shared" si="145"/>
        <v/>
      </c>
      <c r="AF175" s="19" t="str">
        <f t="shared" si="146"/>
        <v/>
      </c>
      <c r="AG175" s="123" t="str">
        <f t="shared" si="147"/>
        <v/>
      </c>
      <c r="AH175" s="123" t="str">
        <f t="shared" si="148"/>
        <v/>
      </c>
      <c r="AI175" s="123" t="str">
        <f t="shared" si="149"/>
        <v/>
      </c>
      <c r="AJ175" s="123" t="str">
        <f t="shared" si="150"/>
        <v/>
      </c>
      <c r="AK175" s="123" t="str">
        <f t="shared" si="151"/>
        <v/>
      </c>
      <c r="AL175" s="123" t="str">
        <f t="shared" si="152"/>
        <v/>
      </c>
      <c r="AM175" s="123" t="str">
        <f t="shared" si="153"/>
        <v/>
      </c>
      <c r="AN175" s="123" t="str">
        <f t="shared" si="154"/>
        <v/>
      </c>
      <c r="AO175" s="123" t="str">
        <f t="shared" si="155"/>
        <v/>
      </c>
      <c r="AP175" s="123" t="str">
        <f t="shared" si="156"/>
        <v/>
      </c>
      <c r="AQ175" s="131" t="str">
        <f t="shared" si="157"/>
        <v/>
      </c>
      <c r="AR175" s="123" t="str">
        <f t="shared" si="158"/>
        <v/>
      </c>
      <c r="AS175" s="1002"/>
      <c r="AT175" s="446"/>
      <c r="AU175" s="132" t="str">
        <f t="shared" si="159"/>
        <v/>
      </c>
      <c r="AV175" s="17"/>
      <c r="AW175" s="125" t="str">
        <f t="shared" si="160"/>
        <v/>
      </c>
      <c r="AX175" s="16"/>
      <c r="AY175" s="26"/>
    </row>
    <row r="176" spans="2:51">
      <c r="B176" s="512"/>
      <c r="C176" s="125"/>
      <c r="D176" s="124" t="str">
        <f t="shared" ref="D176:D201" si="161">IF(A176="","",10^-((((B176-P$12)/P$13)+7))/$AU176)</f>
        <v/>
      </c>
      <c r="E176" s="124" t="str">
        <f t="shared" ref="E176:E201" si="162">IF(A176="","",IF(A177="",(B176-B175)/(A176-A175),((B177-B176)/(A177-A176)+(B176-B175)/(A176-A175))/2))</f>
        <v/>
      </c>
      <c r="F176" s="125" t="str">
        <f t="shared" ref="F176:F201" si="163">IF(A176="","",IF(C176="","0,00001",(IF(ABS(C176-B176)&lt;0.00001,0.00001,C176-B176))))</f>
        <v/>
      </c>
      <c r="G176" s="123" t="str">
        <f t="shared" ref="G176:G201" si="164">IF(A176="","",IF(AX176="X",0,IF(ABS(E176)&lt;0.00001,(0.00001^M$20)*(ABS(H176)^I$20)*ABS(F176)^K$20,((ABS(E176))^M$20)*((ABS(H176))^I$20)*ABS(F176)^K$20)))</f>
        <v/>
      </c>
      <c r="H176" s="123" t="str">
        <f t="shared" ref="H176:H201" si="165">IF(A176="","",I176-J176)</f>
        <v/>
      </c>
      <c r="I176" s="124" t="str">
        <f t="shared" ref="I176:I201" si="166">IF(A176="","",L176*I$18+K176*E$19)</f>
        <v/>
      </c>
      <c r="J176" s="124" t="str">
        <f t="shared" ref="J176:J201" si="167">IF(A176="","",D176 -$AC$9/AU176^2/D176+L176*(W176*$B$11+X176*$C$11+Y176*$D$11+Z176*$E$11+AA176*$F$11+AB176*$G$11+AC176*$H$11)+K176*(AD176*$B$18+AE176*$C$18+AF176*$D$18))</f>
        <v/>
      </c>
      <c r="K176" s="125" t="str">
        <f t="shared" ref="K176:K201" si="168">IF(A176="","",A176/(A176+$G$16))</f>
        <v/>
      </c>
      <c r="L176" s="125" t="str">
        <f t="shared" ref="L176:L201" si="169">IF(A176="","",$E$16/(A176+$G$16))</f>
        <v/>
      </c>
      <c r="M176" s="123" t="str">
        <f t="shared" ref="M176:M201" si="170">IF($A176="","",(1+(V$5*$AU176^(-2*V$4))*$D176+(V$6*$AU176^(-4*V$4-2))*$D176^2+(V$7*$AU176^(-6*V$4-6))*$D176^3+(V$8*$AU176^(-8*V$4-12))*$D176^4+(V$9*$AU176^(-10*V$4-20))*$D176^5+(V$10*$AU176^(-12*V$4-30))*$D176^6))</f>
        <v/>
      </c>
      <c r="N176" s="123" t="str">
        <f t="shared" ref="N176:N201" si="171">IF($A176="","",(1+(W$5*$AU176^(-2*W$4))*$D176+(W$6*$AU176^(-4*W$4-2))*$D176^2+(W$7*$AU176^(-6*W$4-6))*$D176^3+(W$8*$AU176^(-8*W$4-12))*$D176^4+(W$9*$AU176^(-10*W$4-20))*$D176^5+(W$10*$AU176^(-12*W$4-30))*$D176^6))</f>
        <v/>
      </c>
      <c r="O176" s="123" t="str">
        <f t="shared" ref="O176:O201" si="172">IF($A176="","",(1+(X$5*$AU176^(-2*X$4))*$D176+(X$6*$AU176^(-4*X$4-2))*$D176^2+(X$7*$AU176^(-6*X$4-6))*$D176^3+(X$8*$AU176^(-8*X$4-12))*$D176^4+(X$9*$AU176^(-10*X$4-20))*$D176^5+(X$10*$AU176^(-12*X$4-30))*$D176^6))</f>
        <v/>
      </c>
      <c r="P176" s="123" t="str">
        <f t="shared" ref="P176:P201" si="173">IF($A176="","",(1+(Y$5*$AU176^(-2*Y$4))*$D176+(Y$6*$AU176^(-4*Y$4-2))*$D176^2+(Y$7*$AU176^(-6*Y$4-6))*$D176^3+(Y$8*$AU176^(-8*Y$4-12))*$D176^4+(Y$9*$AU176^(-10*Y$4-20))*$D176^5+(Y$10*$AU176^(-12*Y$4-30))*$D176^6))</f>
        <v/>
      </c>
      <c r="Q176" s="123" t="str">
        <f t="shared" ref="Q176:Q201" si="174">IF($A176="","",(1+(Z$5*$AU176^(-2*Z$4))*$D176+(Z$6*$AU176^(-4*Z$4-2))*$D176^2+(Z$7*$AU176^(-6*Z$4-6))*$D176^3+(Z$8*$AU176^(-8*Z$4-12))*$D176^4+(Z$9*$AU176^(-10*Z$4-20))*$D176^5+(Z$10*$AU176^(-12*Z$4-30))*$D176^6))</f>
        <v/>
      </c>
      <c r="R176" s="123" t="str">
        <f t="shared" ref="R176:R201" si="175">IF($A176="","",(1+(AA$5*$AU176^(-2*AA$4))*$D176+(AA$6*$AU176^(-4*AA$4-2))*$D176^2+(AA$7*$AU176^(-6*AA$4-6))*$D176^3+(AA$8*$AU176^(-8*AA$4-12))*$D176^4+(AA$9*$AU176^(-10*AA$4-20))*$D176^5+(AA$10*$AU176^(-12*AA$4-30))*$D176^6))</f>
        <v/>
      </c>
      <c r="S176" s="123" t="str">
        <f t="shared" ref="S176:S201" si="176">IF($A176="","",(1+(AB$5*$AU176^(-2*AB$4))*$D176+(AB$6*$AU176^(-4*AB$4-2))*$D176^2+(AB$7*$AU176^(-6*AB$4-6))*$D176^3+(AB$8*$AU176^(-8*AB$4-12))*$D176^4+(AB$9*$AU176^(-10*AB$4-20))*$D176^5+(AB$10*$AU176^(-12*AB$4-30))*$D176^6))</f>
        <v/>
      </c>
      <c r="T176" s="123" t="str">
        <f t="shared" ref="T176:T201" si="177">IF($A176="","",(1+(AC$5*$AU176^(-2*AC$4))*$D176+(AC$6*$AU176^(-4*AC$4-2))*$D176^2))</f>
        <v/>
      </c>
      <c r="U176" s="123" t="str">
        <f t="shared" ref="U176:U201" si="178">IF($A176="","",(1+(AD$5*$AU176^(-2*AD$4))*$D176+(AD$6*$AU176^(-4*AD$4-2))*$D176^2))</f>
        <v/>
      </c>
      <c r="V176" s="123" t="str">
        <f t="shared" ref="V176:V201" si="179">IF($A176="","",(1+(AE$5*$AU176^(-2*AE$4))*$D176+(AE$6*$AU176^(-4*AE$4-2))*$D176^2))</f>
        <v/>
      </c>
      <c r="W176" s="19" t="str">
        <f t="shared" ref="W176:W201" si="180">IF($A176="","",((V$5*$AU176^(-2*V$4))*$D176+2*(V$6*$AU176^(-4*V$4-2))*$D176^2+3*(V$7*$AU176^(-6*V$4-6))*$D176^3+4*(V$8*$AU176^(-8*V$4-12))*$D176^4+5*(V$9*$AU176^(-10*V$4-20))*$D176^5+6*(V$10*$AU176^(-12*V$4-30))*$D176^6)/M176)</f>
        <v/>
      </c>
      <c r="X176" s="19" t="str">
        <f t="shared" ref="X176:X201" si="181">IF($A176="","",((W$5*$AU176^(-2*W$4))*$D176+2*(W$6*$AU176^(-4*W$4-2))*$D176^2+3*(W$7*$AU176^(-6*W$4-6))*$D176^3+4*(W$8*$AU176^(-8*W$4-12))*$D176^4+5*(W$9*$AU176^(-10*W$4-20))*$D176^5+6*(W$10*$AU176^(-12*W$4-30))*$D176^6)/N176)</f>
        <v/>
      </c>
      <c r="Y176" s="19" t="str">
        <f t="shared" ref="Y176:Y201" si="182">IF($A176="","",((X$5*$AU176^(-2*X$4))*$D176+2*(X$6*$AU176^(-4*X$4-2))*$D176^2+3*(X$7*$AU176^(-6*X$4-6))*$D176^3+4*(X$8*$AU176^(-8*X$4-12))*$D176^4+5*(X$9*$AU176^(-10*X$4-20))*$D176^5+6*(X$10*$AU176^(-12*X$4-30))*$D176^6)/O176)</f>
        <v/>
      </c>
      <c r="Z176" s="19" t="str">
        <f t="shared" ref="Z176:Z201" si="183">IF($A176="","",((Y$5*$AU176^(-2*Y$4))*$D176+2*(Y$6*$AU176^(-4*Y$4-2))*$D176^2+3*(Y$7*$AU176^(-6*Y$4-6))*$D176^3+4*(Y$8*$AU176^(-8*Y$4-12))*$D176^4+5*(Y$9*$AU176^(-10*Y$4-20))*$D176^5+6*(Y$10*$AU176^(-12*Y$4-30))*$D176^6)/P176)</f>
        <v/>
      </c>
      <c r="AA176" s="19" t="str">
        <f t="shared" ref="AA176:AA201" si="184">IF($A176="","",((Z$5*$AU176^(-2*Z$4))*$D176+2*(Z$6*$AU176^(-4*Z$4-2))*$D176^2+3*(Z$7*$AU176^(-6*Z$4-6))*$D176^3+4*(Z$8*$AU176^(-8*Z$4-12))*$D176^4+5*(Z$9*$AU176^(-10*Z$4-20))*$D176^5+6*(Z$10*$AU176^(-12*Z$4-30))*$D176^6)/Q176)</f>
        <v/>
      </c>
      <c r="AB176" s="19" t="str">
        <f t="shared" ref="AB176:AB201" si="185">IF($A176="","",((AA$5*$AU176^(-2*AA$4))*$D176+2*(AA$6*$AU176^(-4*AA$4-2))*$D176^2+3*(AA$7*$AU176^(-6*AA$4-6))*$D176^3+4*(AA$8*$AU176^(-8*AA$4-12))*$D176^4+5*(AA$9*$AU176^(-10*AA$4-20))*$D176^5+6*(AA$10*$AU176^(-12*AA$4-30))*$D176^6)/R176)</f>
        <v/>
      </c>
      <c r="AC176" s="19" t="str">
        <f t="shared" ref="AC176:AC201" si="186">IF($A176="","",((AB$5*$AU176^(-2*AB$4))*$D176+2*(AB$6*$AU176^(-4*AB$4-2))*$D176^2+3*(AB$7*$AU176^(-6*AB$4-6))*$D176^3+4*(AB$8*$AU176^(-8*AB$4-12))*$D176^4+5*(AB$9*$AU176^(-10*AB$4-20))*$D176^5+6*(AB$10*$AU176^(-12*AB$4-30))*$D176^6)/S176)</f>
        <v/>
      </c>
      <c r="AD176" s="19" t="str">
        <f t="shared" ref="AD176:AD201" si="187">IF($A176="","",((AC$5*$AU176^(-2*AC$4))*$D176+2*(AC$6*$AU176^(-4*AC$4-2))*$D176^2)/T176)</f>
        <v/>
      </c>
      <c r="AE176" s="19" t="str">
        <f t="shared" ref="AE176:AE201" si="188">IF($A176="","",((AD$5*$AU176^(-2*AD$4))*$D176+2*(AD$6*$AU176^(-4*AD$4-2))*$D176^2)/U176)</f>
        <v/>
      </c>
      <c r="AF176" s="19" t="str">
        <f t="shared" ref="AF176:AF201" si="189">IF($A176="","",((AE$5*$AU176^(-2*AE$4))*$D176+2*(AE$6*$AU176^(-4*AE$4-2))*$D176^2)/V176)</f>
        <v/>
      </c>
      <c r="AG176" s="123" t="str">
        <f t="shared" ref="AG176:AG201" si="190">IF(B$11=0,"",IF($A176="","",0.5*B$11*$L176*(1*V$4^2+(V$5*$AU176^(-2*V$4))*$D176*(V$4+1)^2+(V$6*$AU176^(-4*V$4-2))*$D176^2*(V$4+2)^2+(V$7*$AU176^(-6*V$4-6))*$D176^3*(V$4+3)^2+(V$8*$AU176^(-8*V$4-12))*$D176^4*(V$4+4)^2+(V$9*$AU176^(-10*V$4-20))*$D176^5*(V$4+5)^2+(V$10*$AU176^(-12*V$4-30))*$D176^6*(V$4+6)^2)/M176))</f>
        <v/>
      </c>
      <c r="AH176" s="123" t="str">
        <f t="shared" ref="AH176:AH201" si="191">IF(C$11=0,"",IF($A176="","",0.5*C$11*$L176*(1*W$4^2+(W$5*$AU176^(-2*W$4))*$D176*(W$4+1)^2+(W$6*$AU176^(-4*W$4-2))*$D176^2*(W$4+2)^2+(W$7*$AU176^(-6*W$4-6))*$D176^3*(W$4+3)^2+(W$8*$AU176^(-8*W$4-12))*$D176^4*(W$4+4)^2+(W$9*$AU176^(-10*W$4-20))*$D176^5*(W$4+5)^2+(W$10*$AU176^(-12*W$4-30))*$D176^6*(W$4+6)^2)/N176))</f>
        <v/>
      </c>
      <c r="AI176" s="123" t="str">
        <f t="shared" ref="AI176:AI201" si="192">IF(D$11=0,"",IF($A176="","",0.5*D$11*$L176*(1*X$4^2+(X$5*$AU176^(-2*X$4))*$D176*(X$4+1)^2+(X$6*$AU176^(-4*X$4-2))*$D176^2*(X$4+2)^2+(X$7*$AU176^(-6*X$4-6))*$D176^3*(X$4+3)^2+(X$8*$AU176^(-8*X$4-12))*$D176^4*(X$4+4)^2+(X$9*$AU176^(-10*X$4-20))*$D176^5*(X$4+5)^2+(X$10*$AU176^(-12*X$4-30))*$D176^6*(X$4+6)^2)/O176))</f>
        <v/>
      </c>
      <c r="AJ176" s="123" t="str">
        <f t="shared" ref="AJ176:AJ201" si="193">IF(E$11=0,"",IF($A176="","",0.5*E$11*$L176*(1*Y$4^2+(Y$5*$AU176^(-2*Y$4))*$D176*(Y$4+1)^2+(Y$6*$AU176^(-4*Y$4-2))*$D176^2*(Y$4+2)^2+(Y$7*$AU176^(-6*Y$4-6))*$D176^3*(Y$4+3)^2+(Y$8*$AU176^(-8*Y$4-12))*$D176^4*(Y$4+4)^2+(Y$9*$AU176^(-10*Y$4-20))*$D176^5*(Y$4+5)^2+(Y$10*$AU176^(-12*Y$4-30))*$D176^6*(Y$4+6)^2)/P176))</f>
        <v/>
      </c>
      <c r="AK176" s="123" t="str">
        <f t="shared" ref="AK176:AK201" si="194">IF(F$11=0,"",IF($A176="","",0.5*F$11*$L176*(1*Z$4^2+(Z$5*$AU176^(-2*Z$4))*$D176*(Z$4+1)^2+(Z$6*$AU176^(-4*Z$4-2))*$D176^2*(Z$4+2)^2+(Z$7*$AU176^(-6*Z$4-6))*$D176^3*(Z$4+3)^2+(Z$8*$AU176^(-8*Z$4-12))*$D176^4*(Z$4+4)^2+(Z$9*$AU176^(-10*Z$4-20))*$D176^5*(Z$4+5)^2+(Z$10*$AU176^(-12*Z$4-30))*$D176^6*(Z$4+6)^2)/Q176))</f>
        <v/>
      </c>
      <c r="AL176" s="123" t="str">
        <f t="shared" ref="AL176:AL201" si="195">IF(G$11=0,"",IF($A176="","",0.5*G$11*$L176*(1*AA$4^2+(AA$5*$AU176^(-2*AA$4))*$D176*(AA$4+1)^2+(AA$6*$AU176^(-4*AA$4-2))*$D176^2*(AA$4+2)^2+(AA$7*$AU176^(-6*AA$4-6))*$D176^3*(AA$4+3)^2+(AA$8*$AU176^(-8*AA$4-12))*$D176^4*(AA$4+4)^2+(AA$9*$AU176^(-10*AA$4-20))*$D176^5*(AA$4+5)^2+(AA$10*$AU176^(-12*AA$4-30))*$D176^6*(AA$4+6)^2)/R176))</f>
        <v/>
      </c>
      <c r="AM176" s="123" t="str">
        <f t="shared" ref="AM176:AM201" si="196">IF(H$11=0,"",IF($A176="","",0.5*H$11*$L176*(1*AB$4^2+(AB$5*$AU176^(-2*AB$4))*$D176*(AB$4+1)^2+(AB$6*$AU176^(-4*AB$4-2))*$D176^2*(AB$4+2)^2+(AB$7*$AU176^(-6*AB$4-6))*$D176^3*(AB$4+3)^2+(AB$8*$AU176^(-8*AB$4-12))*$D176^4*(AB$4+4)^2+(AB$9*$AU176^(-10*AB$4-20))*$D176^5*(AB$4+5)^2+(AB$10*$AU176^(-12*AB$4-30))*$D176^6*(AB$4+6)^2)/S176))</f>
        <v/>
      </c>
      <c r="AN176" s="123" t="str">
        <f t="shared" ref="AN176:AN201" si="197">IF(B$18=0,"",IF($A176="","",0.5*B$18*$K176*(1*AC$4^2+(AC$5*$AU176^(-2*AC$4))*$D176*(AC$4+1)^2+(AC$6*$AU176^(-4*AC$4-2))*$D176^2*(AC$4+2)^2)/T176))</f>
        <v/>
      </c>
      <c r="AO176" s="123" t="str">
        <f t="shared" ref="AO176:AO201" si="198">IF(C$18=0,"",IF($A176="","",0.5*C$18*$K176*(1*AD$4^2+(AD$5*$AU176^(-2*AD$4))*$D176*(AD$4+1)^2+(AD$6*$AU176^(-4*AD$4-2))*$D176^2*(AD$4+2)^2)/U176))</f>
        <v/>
      </c>
      <c r="AP176" s="123" t="str">
        <f t="shared" ref="AP176:AP201" si="199">IF(D$18=0,"",IF($A176="","",0.5*D$18*$K176*(1*AE$4^2+(AE$5*$AU176^(-2*AE$4))*$D176*(AE$4+1)^2+(AE$6*$AU176^(-4*AE$4-2))*$D176^2*(AE$4+2)^2)/V176))</f>
        <v/>
      </c>
      <c r="AQ176" s="131" t="str">
        <f t="shared" ref="AQ176:AQ201" si="200">IF(A176="","",SUM(AG176:AP176)+0.5*(D176+ $AC$9/AU176^2/D176)+$L176*$S$16+$K176*$T$16)</f>
        <v/>
      </c>
      <c r="AR176" s="123" t="str">
        <f t="shared" ref="AR176:AR201" si="201">IF(A176="","",AQ176+$L176*S$14+$K176*$T$14)</f>
        <v/>
      </c>
      <c r="AS176" s="1002"/>
      <c r="AT176" s="446"/>
      <c r="AU176" s="132" t="str">
        <f t="shared" ref="AU176:AU201" si="202">IF(A176="","",10^(-$P$16*($AT176^0.5/(1+$AT176^0.5)-$P$17*$AT176)))</f>
        <v/>
      </c>
      <c r="AV176" s="17"/>
      <c r="AW176" s="125" t="str">
        <f t="shared" ref="AW176:AW201" si="203">IF(C176="","",C176-B176)</f>
        <v/>
      </c>
      <c r="AX176" s="16"/>
      <c r="AY176" s="26"/>
    </row>
    <row r="177" spans="2:51">
      <c r="B177" s="512"/>
      <c r="C177" s="125"/>
      <c r="D177" s="124" t="str">
        <f t="shared" si="161"/>
        <v/>
      </c>
      <c r="E177" s="124" t="str">
        <f t="shared" si="162"/>
        <v/>
      </c>
      <c r="F177" s="125" t="str">
        <f t="shared" si="163"/>
        <v/>
      </c>
      <c r="G177" s="123" t="str">
        <f t="shared" si="164"/>
        <v/>
      </c>
      <c r="H177" s="123" t="str">
        <f t="shared" si="165"/>
        <v/>
      </c>
      <c r="I177" s="124" t="str">
        <f t="shared" si="166"/>
        <v/>
      </c>
      <c r="J177" s="124" t="str">
        <f t="shared" si="167"/>
        <v/>
      </c>
      <c r="K177" s="125" t="str">
        <f t="shared" si="168"/>
        <v/>
      </c>
      <c r="L177" s="125" t="str">
        <f t="shared" si="169"/>
        <v/>
      </c>
      <c r="M177" s="123" t="str">
        <f t="shared" si="170"/>
        <v/>
      </c>
      <c r="N177" s="123" t="str">
        <f t="shared" si="171"/>
        <v/>
      </c>
      <c r="O177" s="123" t="str">
        <f t="shared" si="172"/>
        <v/>
      </c>
      <c r="P177" s="123" t="str">
        <f t="shared" si="173"/>
        <v/>
      </c>
      <c r="Q177" s="123" t="str">
        <f t="shared" si="174"/>
        <v/>
      </c>
      <c r="R177" s="123" t="str">
        <f t="shared" si="175"/>
        <v/>
      </c>
      <c r="S177" s="123" t="str">
        <f t="shared" si="176"/>
        <v/>
      </c>
      <c r="T177" s="123" t="str">
        <f t="shared" si="177"/>
        <v/>
      </c>
      <c r="U177" s="123" t="str">
        <f t="shared" si="178"/>
        <v/>
      </c>
      <c r="V177" s="123" t="str">
        <f t="shared" si="179"/>
        <v/>
      </c>
      <c r="W177" s="19" t="str">
        <f t="shared" si="180"/>
        <v/>
      </c>
      <c r="X177" s="19" t="str">
        <f t="shared" si="181"/>
        <v/>
      </c>
      <c r="Y177" s="19" t="str">
        <f t="shared" si="182"/>
        <v/>
      </c>
      <c r="Z177" s="19" t="str">
        <f t="shared" si="183"/>
        <v/>
      </c>
      <c r="AA177" s="19" t="str">
        <f t="shared" si="184"/>
        <v/>
      </c>
      <c r="AB177" s="19" t="str">
        <f t="shared" si="185"/>
        <v/>
      </c>
      <c r="AC177" s="19" t="str">
        <f t="shared" si="186"/>
        <v/>
      </c>
      <c r="AD177" s="19" t="str">
        <f t="shared" si="187"/>
        <v/>
      </c>
      <c r="AE177" s="19" t="str">
        <f t="shared" si="188"/>
        <v/>
      </c>
      <c r="AF177" s="19" t="str">
        <f t="shared" si="189"/>
        <v/>
      </c>
      <c r="AG177" s="123" t="str">
        <f t="shared" si="190"/>
        <v/>
      </c>
      <c r="AH177" s="123" t="str">
        <f t="shared" si="191"/>
        <v/>
      </c>
      <c r="AI177" s="123" t="str">
        <f t="shared" si="192"/>
        <v/>
      </c>
      <c r="AJ177" s="123" t="str">
        <f t="shared" si="193"/>
        <v/>
      </c>
      <c r="AK177" s="123" t="str">
        <f t="shared" si="194"/>
        <v/>
      </c>
      <c r="AL177" s="123" t="str">
        <f t="shared" si="195"/>
        <v/>
      </c>
      <c r="AM177" s="123" t="str">
        <f t="shared" si="196"/>
        <v/>
      </c>
      <c r="AN177" s="123" t="str">
        <f t="shared" si="197"/>
        <v/>
      </c>
      <c r="AO177" s="123" t="str">
        <f t="shared" si="198"/>
        <v/>
      </c>
      <c r="AP177" s="123" t="str">
        <f t="shared" si="199"/>
        <v/>
      </c>
      <c r="AQ177" s="131" t="str">
        <f t="shared" si="200"/>
        <v/>
      </c>
      <c r="AR177" s="123" t="str">
        <f t="shared" si="201"/>
        <v/>
      </c>
      <c r="AS177" s="1002"/>
      <c r="AT177" s="446"/>
      <c r="AU177" s="132" t="str">
        <f t="shared" si="202"/>
        <v/>
      </c>
      <c r="AV177" s="17"/>
      <c r="AW177" s="125" t="str">
        <f t="shared" si="203"/>
        <v/>
      </c>
      <c r="AX177" s="16"/>
      <c r="AY177" s="26"/>
    </row>
    <row r="178" spans="2:51">
      <c r="B178" s="512"/>
      <c r="C178" s="125"/>
      <c r="D178" s="124" t="str">
        <f t="shared" si="161"/>
        <v/>
      </c>
      <c r="E178" s="124" t="str">
        <f t="shared" si="162"/>
        <v/>
      </c>
      <c r="F178" s="125" t="str">
        <f t="shared" si="163"/>
        <v/>
      </c>
      <c r="G178" s="123" t="str">
        <f t="shared" si="164"/>
        <v/>
      </c>
      <c r="H178" s="123" t="str">
        <f t="shared" si="165"/>
        <v/>
      </c>
      <c r="I178" s="124" t="str">
        <f t="shared" si="166"/>
        <v/>
      </c>
      <c r="J178" s="124" t="str">
        <f t="shared" si="167"/>
        <v/>
      </c>
      <c r="K178" s="125" t="str">
        <f t="shared" si="168"/>
        <v/>
      </c>
      <c r="L178" s="125" t="str">
        <f t="shared" si="169"/>
        <v/>
      </c>
      <c r="M178" s="123" t="str">
        <f t="shared" si="170"/>
        <v/>
      </c>
      <c r="N178" s="123" t="str">
        <f t="shared" si="171"/>
        <v/>
      </c>
      <c r="O178" s="123" t="str">
        <f t="shared" si="172"/>
        <v/>
      </c>
      <c r="P178" s="123" t="str">
        <f t="shared" si="173"/>
        <v/>
      </c>
      <c r="Q178" s="123" t="str">
        <f t="shared" si="174"/>
        <v/>
      </c>
      <c r="R178" s="123" t="str">
        <f t="shared" si="175"/>
        <v/>
      </c>
      <c r="S178" s="123" t="str">
        <f t="shared" si="176"/>
        <v/>
      </c>
      <c r="T178" s="123" t="str">
        <f t="shared" si="177"/>
        <v/>
      </c>
      <c r="U178" s="123" t="str">
        <f t="shared" si="178"/>
        <v/>
      </c>
      <c r="V178" s="123" t="str">
        <f t="shared" si="179"/>
        <v/>
      </c>
      <c r="W178" s="19" t="str">
        <f t="shared" si="180"/>
        <v/>
      </c>
      <c r="X178" s="19" t="str">
        <f t="shared" si="181"/>
        <v/>
      </c>
      <c r="Y178" s="19" t="str">
        <f t="shared" si="182"/>
        <v/>
      </c>
      <c r="Z178" s="19" t="str">
        <f t="shared" si="183"/>
        <v/>
      </c>
      <c r="AA178" s="19" t="str">
        <f t="shared" si="184"/>
        <v/>
      </c>
      <c r="AB178" s="19" t="str">
        <f t="shared" si="185"/>
        <v/>
      </c>
      <c r="AC178" s="19" t="str">
        <f t="shared" si="186"/>
        <v/>
      </c>
      <c r="AD178" s="19" t="str">
        <f t="shared" si="187"/>
        <v/>
      </c>
      <c r="AE178" s="19" t="str">
        <f t="shared" si="188"/>
        <v/>
      </c>
      <c r="AF178" s="19" t="str">
        <f t="shared" si="189"/>
        <v/>
      </c>
      <c r="AG178" s="123" t="str">
        <f t="shared" si="190"/>
        <v/>
      </c>
      <c r="AH178" s="123" t="str">
        <f t="shared" si="191"/>
        <v/>
      </c>
      <c r="AI178" s="123" t="str">
        <f t="shared" si="192"/>
        <v/>
      </c>
      <c r="AJ178" s="123" t="str">
        <f t="shared" si="193"/>
        <v/>
      </c>
      <c r="AK178" s="123" t="str">
        <f t="shared" si="194"/>
        <v/>
      </c>
      <c r="AL178" s="123" t="str">
        <f t="shared" si="195"/>
        <v/>
      </c>
      <c r="AM178" s="123" t="str">
        <f t="shared" si="196"/>
        <v/>
      </c>
      <c r="AN178" s="123" t="str">
        <f t="shared" si="197"/>
        <v/>
      </c>
      <c r="AO178" s="123" t="str">
        <f t="shared" si="198"/>
        <v/>
      </c>
      <c r="AP178" s="123" t="str">
        <f t="shared" si="199"/>
        <v/>
      </c>
      <c r="AQ178" s="131" t="str">
        <f t="shared" si="200"/>
        <v/>
      </c>
      <c r="AR178" s="123" t="str">
        <f t="shared" si="201"/>
        <v/>
      </c>
      <c r="AS178" s="1002"/>
      <c r="AT178" s="446"/>
      <c r="AU178" s="132" t="str">
        <f t="shared" si="202"/>
        <v/>
      </c>
      <c r="AV178" s="17"/>
      <c r="AW178" s="125" t="str">
        <f t="shared" si="203"/>
        <v/>
      </c>
      <c r="AX178" s="16"/>
      <c r="AY178" s="26"/>
    </row>
    <row r="179" spans="2:51">
      <c r="B179" s="512"/>
      <c r="C179" s="125"/>
      <c r="D179" s="124" t="str">
        <f t="shared" si="161"/>
        <v/>
      </c>
      <c r="E179" s="124" t="str">
        <f t="shared" si="162"/>
        <v/>
      </c>
      <c r="F179" s="125" t="str">
        <f t="shared" si="163"/>
        <v/>
      </c>
      <c r="G179" s="123" t="str">
        <f t="shared" si="164"/>
        <v/>
      </c>
      <c r="H179" s="123" t="str">
        <f t="shared" si="165"/>
        <v/>
      </c>
      <c r="I179" s="124" t="str">
        <f t="shared" si="166"/>
        <v/>
      </c>
      <c r="J179" s="124" t="str">
        <f t="shared" si="167"/>
        <v/>
      </c>
      <c r="K179" s="125" t="str">
        <f t="shared" si="168"/>
        <v/>
      </c>
      <c r="L179" s="125" t="str">
        <f t="shared" si="169"/>
        <v/>
      </c>
      <c r="M179" s="123" t="str">
        <f t="shared" si="170"/>
        <v/>
      </c>
      <c r="N179" s="123" t="str">
        <f t="shared" si="171"/>
        <v/>
      </c>
      <c r="O179" s="123" t="str">
        <f t="shared" si="172"/>
        <v/>
      </c>
      <c r="P179" s="123" t="str">
        <f t="shared" si="173"/>
        <v/>
      </c>
      <c r="Q179" s="123" t="str">
        <f t="shared" si="174"/>
        <v/>
      </c>
      <c r="R179" s="123" t="str">
        <f t="shared" si="175"/>
        <v/>
      </c>
      <c r="S179" s="123" t="str">
        <f t="shared" si="176"/>
        <v/>
      </c>
      <c r="T179" s="123" t="str">
        <f t="shared" si="177"/>
        <v/>
      </c>
      <c r="U179" s="123" t="str">
        <f t="shared" si="178"/>
        <v/>
      </c>
      <c r="V179" s="123" t="str">
        <f t="shared" si="179"/>
        <v/>
      </c>
      <c r="W179" s="19" t="str">
        <f t="shared" si="180"/>
        <v/>
      </c>
      <c r="X179" s="19" t="str">
        <f t="shared" si="181"/>
        <v/>
      </c>
      <c r="Y179" s="19" t="str">
        <f t="shared" si="182"/>
        <v/>
      </c>
      <c r="Z179" s="19" t="str">
        <f t="shared" si="183"/>
        <v/>
      </c>
      <c r="AA179" s="19" t="str">
        <f t="shared" si="184"/>
        <v/>
      </c>
      <c r="AB179" s="19" t="str">
        <f t="shared" si="185"/>
        <v/>
      </c>
      <c r="AC179" s="19" t="str">
        <f t="shared" si="186"/>
        <v/>
      </c>
      <c r="AD179" s="19" t="str">
        <f t="shared" si="187"/>
        <v/>
      </c>
      <c r="AE179" s="19" t="str">
        <f t="shared" si="188"/>
        <v/>
      </c>
      <c r="AF179" s="19" t="str">
        <f t="shared" si="189"/>
        <v/>
      </c>
      <c r="AG179" s="123" t="str">
        <f t="shared" si="190"/>
        <v/>
      </c>
      <c r="AH179" s="123" t="str">
        <f t="shared" si="191"/>
        <v/>
      </c>
      <c r="AI179" s="123" t="str">
        <f t="shared" si="192"/>
        <v/>
      </c>
      <c r="AJ179" s="123" t="str">
        <f t="shared" si="193"/>
        <v/>
      </c>
      <c r="AK179" s="123" t="str">
        <f t="shared" si="194"/>
        <v/>
      </c>
      <c r="AL179" s="123" t="str">
        <f t="shared" si="195"/>
        <v/>
      </c>
      <c r="AM179" s="123" t="str">
        <f t="shared" si="196"/>
        <v/>
      </c>
      <c r="AN179" s="123" t="str">
        <f t="shared" si="197"/>
        <v/>
      </c>
      <c r="AO179" s="123" t="str">
        <f t="shared" si="198"/>
        <v/>
      </c>
      <c r="AP179" s="123" t="str">
        <f t="shared" si="199"/>
        <v/>
      </c>
      <c r="AQ179" s="131" t="str">
        <f t="shared" si="200"/>
        <v/>
      </c>
      <c r="AR179" s="123" t="str">
        <f t="shared" si="201"/>
        <v/>
      </c>
      <c r="AS179" s="1002"/>
      <c r="AT179" s="446"/>
      <c r="AU179" s="132" t="str">
        <f t="shared" si="202"/>
        <v/>
      </c>
      <c r="AV179" s="17"/>
      <c r="AW179" s="125" t="str">
        <f t="shared" si="203"/>
        <v/>
      </c>
      <c r="AX179" s="16"/>
      <c r="AY179" s="26"/>
    </row>
    <row r="180" spans="2:51">
      <c r="B180" s="512"/>
      <c r="C180" s="125"/>
      <c r="D180" s="124" t="str">
        <f t="shared" si="161"/>
        <v/>
      </c>
      <c r="E180" s="124" t="str">
        <f t="shared" si="162"/>
        <v/>
      </c>
      <c r="F180" s="125" t="str">
        <f t="shared" si="163"/>
        <v/>
      </c>
      <c r="G180" s="123" t="str">
        <f t="shared" si="164"/>
        <v/>
      </c>
      <c r="H180" s="123" t="str">
        <f t="shared" si="165"/>
        <v/>
      </c>
      <c r="I180" s="124" t="str">
        <f t="shared" si="166"/>
        <v/>
      </c>
      <c r="J180" s="124" t="str">
        <f t="shared" si="167"/>
        <v/>
      </c>
      <c r="K180" s="125" t="str">
        <f t="shared" si="168"/>
        <v/>
      </c>
      <c r="L180" s="125" t="str">
        <f t="shared" si="169"/>
        <v/>
      </c>
      <c r="M180" s="123" t="str">
        <f t="shared" si="170"/>
        <v/>
      </c>
      <c r="N180" s="123" t="str">
        <f t="shared" si="171"/>
        <v/>
      </c>
      <c r="O180" s="123" t="str">
        <f t="shared" si="172"/>
        <v/>
      </c>
      <c r="P180" s="123" t="str">
        <f t="shared" si="173"/>
        <v/>
      </c>
      <c r="Q180" s="123" t="str">
        <f t="shared" si="174"/>
        <v/>
      </c>
      <c r="R180" s="123" t="str">
        <f t="shared" si="175"/>
        <v/>
      </c>
      <c r="S180" s="123" t="str">
        <f t="shared" si="176"/>
        <v/>
      </c>
      <c r="T180" s="123" t="str">
        <f t="shared" si="177"/>
        <v/>
      </c>
      <c r="U180" s="123" t="str">
        <f t="shared" si="178"/>
        <v/>
      </c>
      <c r="V180" s="123" t="str">
        <f t="shared" si="179"/>
        <v/>
      </c>
      <c r="W180" s="19" t="str">
        <f t="shared" si="180"/>
        <v/>
      </c>
      <c r="X180" s="19" t="str">
        <f t="shared" si="181"/>
        <v/>
      </c>
      <c r="Y180" s="19" t="str">
        <f t="shared" si="182"/>
        <v/>
      </c>
      <c r="Z180" s="19" t="str">
        <f t="shared" si="183"/>
        <v/>
      </c>
      <c r="AA180" s="19" t="str">
        <f t="shared" si="184"/>
        <v/>
      </c>
      <c r="AB180" s="19" t="str">
        <f t="shared" si="185"/>
        <v/>
      </c>
      <c r="AC180" s="19" t="str">
        <f t="shared" si="186"/>
        <v/>
      </c>
      <c r="AD180" s="19" t="str">
        <f t="shared" si="187"/>
        <v/>
      </c>
      <c r="AE180" s="19" t="str">
        <f t="shared" si="188"/>
        <v/>
      </c>
      <c r="AF180" s="19" t="str">
        <f t="shared" si="189"/>
        <v/>
      </c>
      <c r="AG180" s="123" t="str">
        <f t="shared" si="190"/>
        <v/>
      </c>
      <c r="AH180" s="123" t="str">
        <f t="shared" si="191"/>
        <v/>
      </c>
      <c r="AI180" s="123" t="str">
        <f t="shared" si="192"/>
        <v/>
      </c>
      <c r="AJ180" s="123" t="str">
        <f t="shared" si="193"/>
        <v/>
      </c>
      <c r="AK180" s="123" t="str">
        <f t="shared" si="194"/>
        <v/>
      </c>
      <c r="AL180" s="123" t="str">
        <f t="shared" si="195"/>
        <v/>
      </c>
      <c r="AM180" s="123" t="str">
        <f t="shared" si="196"/>
        <v/>
      </c>
      <c r="AN180" s="123" t="str">
        <f t="shared" si="197"/>
        <v/>
      </c>
      <c r="AO180" s="123" t="str">
        <f t="shared" si="198"/>
        <v/>
      </c>
      <c r="AP180" s="123" t="str">
        <f t="shared" si="199"/>
        <v/>
      </c>
      <c r="AQ180" s="131" t="str">
        <f t="shared" si="200"/>
        <v/>
      </c>
      <c r="AR180" s="123" t="str">
        <f t="shared" si="201"/>
        <v/>
      </c>
      <c r="AS180" s="1002"/>
      <c r="AT180" s="446"/>
      <c r="AU180" s="132" t="str">
        <f t="shared" si="202"/>
        <v/>
      </c>
      <c r="AV180" s="17"/>
      <c r="AW180" s="125" t="str">
        <f t="shared" si="203"/>
        <v/>
      </c>
      <c r="AX180" s="16"/>
      <c r="AY180" s="26"/>
    </row>
    <row r="181" spans="2:51">
      <c r="B181" s="512"/>
      <c r="C181" s="125"/>
      <c r="D181" s="124" t="str">
        <f t="shared" si="161"/>
        <v/>
      </c>
      <c r="E181" s="124" t="str">
        <f t="shared" si="162"/>
        <v/>
      </c>
      <c r="F181" s="125" t="str">
        <f t="shared" si="163"/>
        <v/>
      </c>
      <c r="G181" s="123" t="str">
        <f t="shared" si="164"/>
        <v/>
      </c>
      <c r="H181" s="123" t="str">
        <f t="shared" si="165"/>
        <v/>
      </c>
      <c r="I181" s="124" t="str">
        <f t="shared" si="166"/>
        <v/>
      </c>
      <c r="J181" s="124" t="str">
        <f t="shared" si="167"/>
        <v/>
      </c>
      <c r="K181" s="125" t="str">
        <f t="shared" si="168"/>
        <v/>
      </c>
      <c r="L181" s="125" t="str">
        <f t="shared" si="169"/>
        <v/>
      </c>
      <c r="M181" s="123" t="str">
        <f t="shared" si="170"/>
        <v/>
      </c>
      <c r="N181" s="123" t="str">
        <f t="shared" si="171"/>
        <v/>
      </c>
      <c r="O181" s="123" t="str">
        <f t="shared" si="172"/>
        <v/>
      </c>
      <c r="P181" s="123" t="str">
        <f t="shared" si="173"/>
        <v/>
      </c>
      <c r="Q181" s="123" t="str">
        <f t="shared" si="174"/>
        <v/>
      </c>
      <c r="R181" s="123" t="str">
        <f t="shared" si="175"/>
        <v/>
      </c>
      <c r="S181" s="123" t="str">
        <f t="shared" si="176"/>
        <v/>
      </c>
      <c r="T181" s="123" t="str">
        <f t="shared" si="177"/>
        <v/>
      </c>
      <c r="U181" s="123" t="str">
        <f t="shared" si="178"/>
        <v/>
      </c>
      <c r="V181" s="123" t="str">
        <f t="shared" si="179"/>
        <v/>
      </c>
      <c r="W181" s="19" t="str">
        <f t="shared" si="180"/>
        <v/>
      </c>
      <c r="X181" s="19" t="str">
        <f t="shared" si="181"/>
        <v/>
      </c>
      <c r="Y181" s="19" t="str">
        <f t="shared" si="182"/>
        <v/>
      </c>
      <c r="Z181" s="19" t="str">
        <f t="shared" si="183"/>
        <v/>
      </c>
      <c r="AA181" s="19" t="str">
        <f t="shared" si="184"/>
        <v/>
      </c>
      <c r="AB181" s="19" t="str">
        <f t="shared" si="185"/>
        <v/>
      </c>
      <c r="AC181" s="19" t="str">
        <f t="shared" si="186"/>
        <v/>
      </c>
      <c r="AD181" s="19" t="str">
        <f t="shared" si="187"/>
        <v/>
      </c>
      <c r="AE181" s="19" t="str">
        <f t="shared" si="188"/>
        <v/>
      </c>
      <c r="AF181" s="19" t="str">
        <f t="shared" si="189"/>
        <v/>
      </c>
      <c r="AG181" s="123" t="str">
        <f t="shared" si="190"/>
        <v/>
      </c>
      <c r="AH181" s="123" t="str">
        <f t="shared" si="191"/>
        <v/>
      </c>
      <c r="AI181" s="123" t="str">
        <f t="shared" si="192"/>
        <v/>
      </c>
      <c r="AJ181" s="123" t="str">
        <f t="shared" si="193"/>
        <v/>
      </c>
      <c r="AK181" s="123" t="str">
        <f t="shared" si="194"/>
        <v/>
      </c>
      <c r="AL181" s="123" t="str">
        <f t="shared" si="195"/>
        <v/>
      </c>
      <c r="AM181" s="123" t="str">
        <f t="shared" si="196"/>
        <v/>
      </c>
      <c r="AN181" s="123" t="str">
        <f t="shared" si="197"/>
        <v/>
      </c>
      <c r="AO181" s="123" t="str">
        <f t="shared" si="198"/>
        <v/>
      </c>
      <c r="AP181" s="123" t="str">
        <f t="shared" si="199"/>
        <v/>
      </c>
      <c r="AQ181" s="131" t="str">
        <f t="shared" si="200"/>
        <v/>
      </c>
      <c r="AR181" s="123" t="str">
        <f t="shared" si="201"/>
        <v/>
      </c>
      <c r="AS181" s="1002"/>
      <c r="AT181" s="446"/>
      <c r="AU181" s="132" t="str">
        <f t="shared" si="202"/>
        <v/>
      </c>
      <c r="AV181" s="17"/>
      <c r="AW181" s="125" t="str">
        <f t="shared" si="203"/>
        <v/>
      </c>
      <c r="AX181" s="16"/>
      <c r="AY181" s="26"/>
    </row>
    <row r="182" spans="2:51">
      <c r="B182" s="512"/>
      <c r="C182" s="125"/>
      <c r="D182" s="124" t="str">
        <f t="shared" si="161"/>
        <v/>
      </c>
      <c r="E182" s="124" t="str">
        <f t="shared" si="162"/>
        <v/>
      </c>
      <c r="F182" s="125" t="str">
        <f t="shared" si="163"/>
        <v/>
      </c>
      <c r="G182" s="123" t="str">
        <f t="shared" si="164"/>
        <v/>
      </c>
      <c r="H182" s="123" t="str">
        <f t="shared" si="165"/>
        <v/>
      </c>
      <c r="I182" s="124" t="str">
        <f t="shared" si="166"/>
        <v/>
      </c>
      <c r="J182" s="124" t="str">
        <f t="shared" si="167"/>
        <v/>
      </c>
      <c r="K182" s="125" t="str">
        <f t="shared" si="168"/>
        <v/>
      </c>
      <c r="L182" s="125" t="str">
        <f t="shared" si="169"/>
        <v/>
      </c>
      <c r="M182" s="123" t="str">
        <f t="shared" si="170"/>
        <v/>
      </c>
      <c r="N182" s="123" t="str">
        <f t="shared" si="171"/>
        <v/>
      </c>
      <c r="O182" s="123" t="str">
        <f t="shared" si="172"/>
        <v/>
      </c>
      <c r="P182" s="123" t="str">
        <f t="shared" si="173"/>
        <v/>
      </c>
      <c r="Q182" s="123" t="str">
        <f t="shared" si="174"/>
        <v/>
      </c>
      <c r="R182" s="123" t="str">
        <f t="shared" si="175"/>
        <v/>
      </c>
      <c r="S182" s="123" t="str">
        <f t="shared" si="176"/>
        <v/>
      </c>
      <c r="T182" s="123" t="str">
        <f t="shared" si="177"/>
        <v/>
      </c>
      <c r="U182" s="123" t="str">
        <f t="shared" si="178"/>
        <v/>
      </c>
      <c r="V182" s="123" t="str">
        <f t="shared" si="179"/>
        <v/>
      </c>
      <c r="W182" s="19" t="str">
        <f t="shared" si="180"/>
        <v/>
      </c>
      <c r="X182" s="19" t="str">
        <f t="shared" si="181"/>
        <v/>
      </c>
      <c r="Y182" s="19" t="str">
        <f t="shared" si="182"/>
        <v/>
      </c>
      <c r="Z182" s="19" t="str">
        <f t="shared" si="183"/>
        <v/>
      </c>
      <c r="AA182" s="19" t="str">
        <f t="shared" si="184"/>
        <v/>
      </c>
      <c r="AB182" s="19" t="str">
        <f t="shared" si="185"/>
        <v/>
      </c>
      <c r="AC182" s="19" t="str">
        <f t="shared" si="186"/>
        <v/>
      </c>
      <c r="AD182" s="19" t="str">
        <f t="shared" si="187"/>
        <v/>
      </c>
      <c r="AE182" s="19" t="str">
        <f t="shared" si="188"/>
        <v/>
      </c>
      <c r="AF182" s="19" t="str">
        <f t="shared" si="189"/>
        <v/>
      </c>
      <c r="AG182" s="123" t="str">
        <f t="shared" si="190"/>
        <v/>
      </c>
      <c r="AH182" s="123" t="str">
        <f t="shared" si="191"/>
        <v/>
      </c>
      <c r="AI182" s="123" t="str">
        <f t="shared" si="192"/>
        <v/>
      </c>
      <c r="AJ182" s="123" t="str">
        <f t="shared" si="193"/>
        <v/>
      </c>
      <c r="AK182" s="123" t="str">
        <f t="shared" si="194"/>
        <v/>
      </c>
      <c r="AL182" s="123" t="str">
        <f t="shared" si="195"/>
        <v/>
      </c>
      <c r="AM182" s="123" t="str">
        <f t="shared" si="196"/>
        <v/>
      </c>
      <c r="AN182" s="123" t="str">
        <f t="shared" si="197"/>
        <v/>
      </c>
      <c r="AO182" s="123" t="str">
        <f t="shared" si="198"/>
        <v/>
      </c>
      <c r="AP182" s="123" t="str">
        <f t="shared" si="199"/>
        <v/>
      </c>
      <c r="AQ182" s="131" t="str">
        <f t="shared" si="200"/>
        <v/>
      </c>
      <c r="AR182" s="123" t="str">
        <f t="shared" si="201"/>
        <v/>
      </c>
      <c r="AS182" s="1002"/>
      <c r="AT182" s="446"/>
      <c r="AU182" s="132" t="str">
        <f t="shared" si="202"/>
        <v/>
      </c>
      <c r="AV182" s="17"/>
      <c r="AW182" s="125" t="str">
        <f t="shared" si="203"/>
        <v/>
      </c>
      <c r="AX182" s="16"/>
      <c r="AY182" s="26"/>
    </row>
    <row r="183" spans="2:51">
      <c r="B183" s="512"/>
      <c r="C183" s="125"/>
      <c r="D183" s="124" t="str">
        <f t="shared" si="161"/>
        <v/>
      </c>
      <c r="E183" s="124" t="str">
        <f t="shared" si="162"/>
        <v/>
      </c>
      <c r="F183" s="125" t="str">
        <f t="shared" si="163"/>
        <v/>
      </c>
      <c r="G183" s="123" t="str">
        <f t="shared" si="164"/>
        <v/>
      </c>
      <c r="H183" s="123" t="str">
        <f t="shared" si="165"/>
        <v/>
      </c>
      <c r="I183" s="124" t="str">
        <f t="shared" si="166"/>
        <v/>
      </c>
      <c r="J183" s="124" t="str">
        <f t="shared" si="167"/>
        <v/>
      </c>
      <c r="K183" s="125" t="str">
        <f t="shared" si="168"/>
        <v/>
      </c>
      <c r="L183" s="125" t="str">
        <f t="shared" si="169"/>
        <v/>
      </c>
      <c r="M183" s="123" t="str">
        <f t="shared" si="170"/>
        <v/>
      </c>
      <c r="N183" s="123" t="str">
        <f t="shared" si="171"/>
        <v/>
      </c>
      <c r="O183" s="123" t="str">
        <f t="shared" si="172"/>
        <v/>
      </c>
      <c r="P183" s="123" t="str">
        <f t="shared" si="173"/>
        <v/>
      </c>
      <c r="Q183" s="123" t="str">
        <f t="shared" si="174"/>
        <v/>
      </c>
      <c r="R183" s="123" t="str">
        <f t="shared" si="175"/>
        <v/>
      </c>
      <c r="S183" s="123" t="str">
        <f t="shared" si="176"/>
        <v/>
      </c>
      <c r="T183" s="123" t="str">
        <f t="shared" si="177"/>
        <v/>
      </c>
      <c r="U183" s="123" t="str">
        <f t="shared" si="178"/>
        <v/>
      </c>
      <c r="V183" s="123" t="str">
        <f t="shared" si="179"/>
        <v/>
      </c>
      <c r="W183" s="19" t="str">
        <f t="shared" si="180"/>
        <v/>
      </c>
      <c r="X183" s="19" t="str">
        <f t="shared" si="181"/>
        <v/>
      </c>
      <c r="Y183" s="19" t="str">
        <f t="shared" si="182"/>
        <v/>
      </c>
      <c r="Z183" s="19" t="str">
        <f t="shared" si="183"/>
        <v/>
      </c>
      <c r="AA183" s="19" t="str">
        <f t="shared" si="184"/>
        <v/>
      </c>
      <c r="AB183" s="19" t="str">
        <f t="shared" si="185"/>
        <v/>
      </c>
      <c r="AC183" s="19" t="str">
        <f t="shared" si="186"/>
        <v/>
      </c>
      <c r="AD183" s="19" t="str">
        <f t="shared" si="187"/>
        <v/>
      </c>
      <c r="AE183" s="19" t="str">
        <f t="shared" si="188"/>
        <v/>
      </c>
      <c r="AF183" s="19" t="str">
        <f t="shared" si="189"/>
        <v/>
      </c>
      <c r="AG183" s="123" t="str">
        <f t="shared" si="190"/>
        <v/>
      </c>
      <c r="AH183" s="123" t="str">
        <f t="shared" si="191"/>
        <v/>
      </c>
      <c r="AI183" s="123" t="str">
        <f t="shared" si="192"/>
        <v/>
      </c>
      <c r="AJ183" s="123" t="str">
        <f t="shared" si="193"/>
        <v/>
      </c>
      <c r="AK183" s="123" t="str">
        <f t="shared" si="194"/>
        <v/>
      </c>
      <c r="AL183" s="123" t="str">
        <f t="shared" si="195"/>
        <v/>
      </c>
      <c r="AM183" s="123" t="str">
        <f t="shared" si="196"/>
        <v/>
      </c>
      <c r="AN183" s="123" t="str">
        <f t="shared" si="197"/>
        <v/>
      </c>
      <c r="AO183" s="123" t="str">
        <f t="shared" si="198"/>
        <v/>
      </c>
      <c r="AP183" s="123" t="str">
        <f t="shared" si="199"/>
        <v/>
      </c>
      <c r="AQ183" s="131" t="str">
        <f t="shared" si="200"/>
        <v/>
      </c>
      <c r="AR183" s="123" t="str">
        <f t="shared" si="201"/>
        <v/>
      </c>
      <c r="AS183" s="1002"/>
      <c r="AT183" s="446"/>
      <c r="AU183" s="132" t="str">
        <f t="shared" si="202"/>
        <v/>
      </c>
      <c r="AV183" s="17"/>
      <c r="AW183" s="125" t="str">
        <f t="shared" si="203"/>
        <v/>
      </c>
      <c r="AX183" s="16"/>
      <c r="AY183" s="26"/>
    </row>
    <row r="184" spans="2:51">
      <c r="B184" s="512"/>
      <c r="C184" s="125"/>
      <c r="D184" s="124" t="str">
        <f t="shared" si="161"/>
        <v/>
      </c>
      <c r="E184" s="124" t="str">
        <f t="shared" si="162"/>
        <v/>
      </c>
      <c r="F184" s="125" t="str">
        <f t="shared" si="163"/>
        <v/>
      </c>
      <c r="G184" s="123" t="str">
        <f t="shared" si="164"/>
        <v/>
      </c>
      <c r="H184" s="123" t="str">
        <f t="shared" si="165"/>
        <v/>
      </c>
      <c r="I184" s="124" t="str">
        <f t="shared" si="166"/>
        <v/>
      </c>
      <c r="J184" s="124" t="str">
        <f t="shared" si="167"/>
        <v/>
      </c>
      <c r="K184" s="125" t="str">
        <f t="shared" si="168"/>
        <v/>
      </c>
      <c r="L184" s="125" t="str">
        <f t="shared" si="169"/>
        <v/>
      </c>
      <c r="M184" s="123" t="str">
        <f t="shared" si="170"/>
        <v/>
      </c>
      <c r="N184" s="123" t="str">
        <f t="shared" si="171"/>
        <v/>
      </c>
      <c r="O184" s="123" t="str">
        <f t="shared" si="172"/>
        <v/>
      </c>
      <c r="P184" s="123" t="str">
        <f t="shared" si="173"/>
        <v/>
      </c>
      <c r="Q184" s="123" t="str">
        <f t="shared" si="174"/>
        <v/>
      </c>
      <c r="R184" s="123" t="str">
        <f t="shared" si="175"/>
        <v/>
      </c>
      <c r="S184" s="123" t="str">
        <f t="shared" si="176"/>
        <v/>
      </c>
      <c r="T184" s="123" t="str">
        <f t="shared" si="177"/>
        <v/>
      </c>
      <c r="U184" s="123" t="str">
        <f t="shared" si="178"/>
        <v/>
      </c>
      <c r="V184" s="123" t="str">
        <f t="shared" si="179"/>
        <v/>
      </c>
      <c r="W184" s="19" t="str">
        <f t="shared" si="180"/>
        <v/>
      </c>
      <c r="X184" s="19" t="str">
        <f t="shared" si="181"/>
        <v/>
      </c>
      <c r="Y184" s="19" t="str">
        <f t="shared" si="182"/>
        <v/>
      </c>
      <c r="Z184" s="19" t="str">
        <f t="shared" si="183"/>
        <v/>
      </c>
      <c r="AA184" s="19" t="str">
        <f t="shared" si="184"/>
        <v/>
      </c>
      <c r="AB184" s="19" t="str">
        <f t="shared" si="185"/>
        <v/>
      </c>
      <c r="AC184" s="19" t="str">
        <f t="shared" si="186"/>
        <v/>
      </c>
      <c r="AD184" s="19" t="str">
        <f t="shared" si="187"/>
        <v/>
      </c>
      <c r="AE184" s="19" t="str">
        <f t="shared" si="188"/>
        <v/>
      </c>
      <c r="AF184" s="19" t="str">
        <f t="shared" si="189"/>
        <v/>
      </c>
      <c r="AG184" s="123" t="str">
        <f t="shared" si="190"/>
        <v/>
      </c>
      <c r="AH184" s="123" t="str">
        <f t="shared" si="191"/>
        <v/>
      </c>
      <c r="AI184" s="123" t="str">
        <f t="shared" si="192"/>
        <v/>
      </c>
      <c r="AJ184" s="123" t="str">
        <f t="shared" si="193"/>
        <v/>
      </c>
      <c r="AK184" s="123" t="str">
        <f t="shared" si="194"/>
        <v/>
      </c>
      <c r="AL184" s="123" t="str">
        <f t="shared" si="195"/>
        <v/>
      </c>
      <c r="AM184" s="123" t="str">
        <f t="shared" si="196"/>
        <v/>
      </c>
      <c r="AN184" s="123" t="str">
        <f t="shared" si="197"/>
        <v/>
      </c>
      <c r="AO184" s="123" t="str">
        <f t="shared" si="198"/>
        <v/>
      </c>
      <c r="AP184" s="123" t="str">
        <f t="shared" si="199"/>
        <v/>
      </c>
      <c r="AQ184" s="131" t="str">
        <f t="shared" si="200"/>
        <v/>
      </c>
      <c r="AR184" s="123" t="str">
        <f t="shared" si="201"/>
        <v/>
      </c>
      <c r="AS184" s="1002"/>
      <c r="AT184" s="446"/>
      <c r="AU184" s="132" t="str">
        <f t="shared" si="202"/>
        <v/>
      </c>
      <c r="AV184" s="17"/>
      <c r="AW184" s="125" t="str">
        <f t="shared" si="203"/>
        <v/>
      </c>
      <c r="AX184" s="16"/>
      <c r="AY184" s="26"/>
    </row>
    <row r="185" spans="2:51">
      <c r="B185" s="512"/>
      <c r="C185" s="125"/>
      <c r="D185" s="124" t="str">
        <f t="shared" si="161"/>
        <v/>
      </c>
      <c r="E185" s="124" t="str">
        <f t="shared" si="162"/>
        <v/>
      </c>
      <c r="F185" s="125" t="str">
        <f t="shared" si="163"/>
        <v/>
      </c>
      <c r="G185" s="123" t="str">
        <f t="shared" si="164"/>
        <v/>
      </c>
      <c r="H185" s="123" t="str">
        <f t="shared" si="165"/>
        <v/>
      </c>
      <c r="I185" s="124" t="str">
        <f t="shared" si="166"/>
        <v/>
      </c>
      <c r="J185" s="124" t="str">
        <f t="shared" si="167"/>
        <v/>
      </c>
      <c r="K185" s="125" t="str">
        <f t="shared" si="168"/>
        <v/>
      </c>
      <c r="L185" s="125" t="str">
        <f t="shared" si="169"/>
        <v/>
      </c>
      <c r="M185" s="123" t="str">
        <f t="shared" si="170"/>
        <v/>
      </c>
      <c r="N185" s="123" t="str">
        <f t="shared" si="171"/>
        <v/>
      </c>
      <c r="O185" s="123" t="str">
        <f t="shared" si="172"/>
        <v/>
      </c>
      <c r="P185" s="123" t="str">
        <f t="shared" si="173"/>
        <v/>
      </c>
      <c r="Q185" s="123" t="str">
        <f t="shared" si="174"/>
        <v/>
      </c>
      <c r="R185" s="123" t="str">
        <f t="shared" si="175"/>
        <v/>
      </c>
      <c r="S185" s="123" t="str">
        <f t="shared" si="176"/>
        <v/>
      </c>
      <c r="T185" s="123" t="str">
        <f t="shared" si="177"/>
        <v/>
      </c>
      <c r="U185" s="123" t="str">
        <f t="shared" si="178"/>
        <v/>
      </c>
      <c r="V185" s="123" t="str">
        <f t="shared" si="179"/>
        <v/>
      </c>
      <c r="W185" s="19" t="str">
        <f t="shared" si="180"/>
        <v/>
      </c>
      <c r="X185" s="19" t="str">
        <f t="shared" si="181"/>
        <v/>
      </c>
      <c r="Y185" s="19" t="str">
        <f t="shared" si="182"/>
        <v/>
      </c>
      <c r="Z185" s="19" t="str">
        <f t="shared" si="183"/>
        <v/>
      </c>
      <c r="AA185" s="19" t="str">
        <f t="shared" si="184"/>
        <v/>
      </c>
      <c r="AB185" s="19" t="str">
        <f t="shared" si="185"/>
        <v/>
      </c>
      <c r="AC185" s="19" t="str">
        <f t="shared" si="186"/>
        <v/>
      </c>
      <c r="AD185" s="19" t="str">
        <f t="shared" si="187"/>
        <v/>
      </c>
      <c r="AE185" s="19" t="str">
        <f t="shared" si="188"/>
        <v/>
      </c>
      <c r="AF185" s="19" t="str">
        <f t="shared" si="189"/>
        <v/>
      </c>
      <c r="AG185" s="123" t="str">
        <f t="shared" si="190"/>
        <v/>
      </c>
      <c r="AH185" s="123" t="str">
        <f t="shared" si="191"/>
        <v/>
      </c>
      <c r="AI185" s="123" t="str">
        <f t="shared" si="192"/>
        <v/>
      </c>
      <c r="AJ185" s="123" t="str">
        <f t="shared" si="193"/>
        <v/>
      </c>
      <c r="AK185" s="123" t="str">
        <f t="shared" si="194"/>
        <v/>
      </c>
      <c r="AL185" s="123" t="str">
        <f t="shared" si="195"/>
        <v/>
      </c>
      <c r="AM185" s="123" t="str">
        <f t="shared" si="196"/>
        <v/>
      </c>
      <c r="AN185" s="123" t="str">
        <f t="shared" si="197"/>
        <v/>
      </c>
      <c r="AO185" s="123" t="str">
        <f t="shared" si="198"/>
        <v/>
      </c>
      <c r="AP185" s="123" t="str">
        <f t="shared" si="199"/>
        <v/>
      </c>
      <c r="AQ185" s="131" t="str">
        <f t="shared" si="200"/>
        <v/>
      </c>
      <c r="AR185" s="123" t="str">
        <f t="shared" si="201"/>
        <v/>
      </c>
      <c r="AS185" s="1002"/>
      <c r="AT185" s="446"/>
      <c r="AU185" s="132" t="str">
        <f t="shared" si="202"/>
        <v/>
      </c>
      <c r="AV185" s="17"/>
      <c r="AW185" s="125" t="str">
        <f t="shared" si="203"/>
        <v/>
      </c>
      <c r="AX185" s="16"/>
      <c r="AY185" s="26"/>
    </row>
    <row r="186" spans="2:51">
      <c r="B186" s="512"/>
      <c r="C186" s="125"/>
      <c r="D186" s="124" t="str">
        <f t="shared" si="161"/>
        <v/>
      </c>
      <c r="E186" s="124" t="str">
        <f t="shared" si="162"/>
        <v/>
      </c>
      <c r="F186" s="125" t="str">
        <f t="shared" si="163"/>
        <v/>
      </c>
      <c r="G186" s="123" t="str">
        <f t="shared" si="164"/>
        <v/>
      </c>
      <c r="H186" s="123" t="str">
        <f t="shared" si="165"/>
        <v/>
      </c>
      <c r="I186" s="124" t="str">
        <f t="shared" si="166"/>
        <v/>
      </c>
      <c r="J186" s="124" t="str">
        <f t="shared" si="167"/>
        <v/>
      </c>
      <c r="K186" s="125" t="str">
        <f t="shared" si="168"/>
        <v/>
      </c>
      <c r="L186" s="125" t="str">
        <f t="shared" si="169"/>
        <v/>
      </c>
      <c r="M186" s="123" t="str">
        <f t="shared" si="170"/>
        <v/>
      </c>
      <c r="N186" s="123" t="str">
        <f t="shared" si="171"/>
        <v/>
      </c>
      <c r="O186" s="123" t="str">
        <f t="shared" si="172"/>
        <v/>
      </c>
      <c r="P186" s="123" t="str">
        <f t="shared" si="173"/>
        <v/>
      </c>
      <c r="Q186" s="123" t="str">
        <f t="shared" si="174"/>
        <v/>
      </c>
      <c r="R186" s="123" t="str">
        <f t="shared" si="175"/>
        <v/>
      </c>
      <c r="S186" s="123" t="str">
        <f t="shared" si="176"/>
        <v/>
      </c>
      <c r="T186" s="123" t="str">
        <f t="shared" si="177"/>
        <v/>
      </c>
      <c r="U186" s="123" t="str">
        <f t="shared" si="178"/>
        <v/>
      </c>
      <c r="V186" s="123" t="str">
        <f t="shared" si="179"/>
        <v/>
      </c>
      <c r="W186" s="19" t="str">
        <f t="shared" si="180"/>
        <v/>
      </c>
      <c r="X186" s="19" t="str">
        <f t="shared" si="181"/>
        <v/>
      </c>
      <c r="Y186" s="19" t="str">
        <f t="shared" si="182"/>
        <v/>
      </c>
      <c r="Z186" s="19" t="str">
        <f t="shared" si="183"/>
        <v/>
      </c>
      <c r="AA186" s="19" t="str">
        <f t="shared" si="184"/>
        <v/>
      </c>
      <c r="AB186" s="19" t="str">
        <f t="shared" si="185"/>
        <v/>
      </c>
      <c r="AC186" s="19" t="str">
        <f t="shared" si="186"/>
        <v/>
      </c>
      <c r="AD186" s="19" t="str">
        <f t="shared" si="187"/>
        <v/>
      </c>
      <c r="AE186" s="19" t="str">
        <f t="shared" si="188"/>
        <v/>
      </c>
      <c r="AF186" s="19" t="str">
        <f t="shared" si="189"/>
        <v/>
      </c>
      <c r="AG186" s="123" t="str">
        <f t="shared" si="190"/>
        <v/>
      </c>
      <c r="AH186" s="123" t="str">
        <f t="shared" si="191"/>
        <v/>
      </c>
      <c r="AI186" s="123" t="str">
        <f t="shared" si="192"/>
        <v/>
      </c>
      <c r="AJ186" s="123" t="str">
        <f t="shared" si="193"/>
        <v/>
      </c>
      <c r="AK186" s="123" t="str">
        <f t="shared" si="194"/>
        <v/>
      </c>
      <c r="AL186" s="123" t="str">
        <f t="shared" si="195"/>
        <v/>
      </c>
      <c r="AM186" s="123" t="str">
        <f t="shared" si="196"/>
        <v/>
      </c>
      <c r="AN186" s="123" t="str">
        <f t="shared" si="197"/>
        <v/>
      </c>
      <c r="AO186" s="123" t="str">
        <f t="shared" si="198"/>
        <v/>
      </c>
      <c r="AP186" s="123" t="str">
        <f t="shared" si="199"/>
        <v/>
      </c>
      <c r="AQ186" s="131" t="str">
        <f t="shared" si="200"/>
        <v/>
      </c>
      <c r="AR186" s="123" t="str">
        <f t="shared" si="201"/>
        <v/>
      </c>
      <c r="AS186" s="1002"/>
      <c r="AT186" s="446"/>
      <c r="AU186" s="132" t="str">
        <f t="shared" si="202"/>
        <v/>
      </c>
      <c r="AV186" s="17"/>
      <c r="AW186" s="125" t="str">
        <f t="shared" si="203"/>
        <v/>
      </c>
      <c r="AX186" s="16"/>
      <c r="AY186" s="26"/>
    </row>
    <row r="187" spans="2:51">
      <c r="B187" s="512"/>
      <c r="C187" s="125"/>
      <c r="D187" s="124" t="str">
        <f t="shared" si="161"/>
        <v/>
      </c>
      <c r="E187" s="124" t="str">
        <f t="shared" si="162"/>
        <v/>
      </c>
      <c r="F187" s="125" t="str">
        <f t="shared" si="163"/>
        <v/>
      </c>
      <c r="G187" s="123" t="str">
        <f t="shared" si="164"/>
        <v/>
      </c>
      <c r="H187" s="123" t="str">
        <f t="shared" si="165"/>
        <v/>
      </c>
      <c r="I187" s="124" t="str">
        <f t="shared" si="166"/>
        <v/>
      </c>
      <c r="J187" s="124" t="str">
        <f t="shared" si="167"/>
        <v/>
      </c>
      <c r="K187" s="125" t="str">
        <f t="shared" si="168"/>
        <v/>
      </c>
      <c r="L187" s="125" t="str">
        <f t="shared" si="169"/>
        <v/>
      </c>
      <c r="M187" s="123" t="str">
        <f t="shared" si="170"/>
        <v/>
      </c>
      <c r="N187" s="123" t="str">
        <f t="shared" si="171"/>
        <v/>
      </c>
      <c r="O187" s="123" t="str">
        <f t="shared" si="172"/>
        <v/>
      </c>
      <c r="P187" s="123" t="str">
        <f t="shared" si="173"/>
        <v/>
      </c>
      <c r="Q187" s="123" t="str">
        <f t="shared" si="174"/>
        <v/>
      </c>
      <c r="R187" s="123" t="str">
        <f t="shared" si="175"/>
        <v/>
      </c>
      <c r="S187" s="123" t="str">
        <f t="shared" si="176"/>
        <v/>
      </c>
      <c r="T187" s="123" t="str">
        <f t="shared" si="177"/>
        <v/>
      </c>
      <c r="U187" s="123" t="str">
        <f t="shared" si="178"/>
        <v/>
      </c>
      <c r="V187" s="123" t="str">
        <f t="shared" si="179"/>
        <v/>
      </c>
      <c r="W187" s="19" t="str">
        <f t="shared" si="180"/>
        <v/>
      </c>
      <c r="X187" s="19" t="str">
        <f t="shared" si="181"/>
        <v/>
      </c>
      <c r="Y187" s="19" t="str">
        <f t="shared" si="182"/>
        <v/>
      </c>
      <c r="Z187" s="19" t="str">
        <f t="shared" si="183"/>
        <v/>
      </c>
      <c r="AA187" s="19" t="str">
        <f t="shared" si="184"/>
        <v/>
      </c>
      <c r="AB187" s="19" t="str">
        <f t="shared" si="185"/>
        <v/>
      </c>
      <c r="AC187" s="19" t="str">
        <f t="shared" si="186"/>
        <v/>
      </c>
      <c r="AD187" s="19" t="str">
        <f t="shared" si="187"/>
        <v/>
      </c>
      <c r="AE187" s="19" t="str">
        <f t="shared" si="188"/>
        <v/>
      </c>
      <c r="AF187" s="19" t="str">
        <f t="shared" si="189"/>
        <v/>
      </c>
      <c r="AG187" s="123" t="str">
        <f t="shared" si="190"/>
        <v/>
      </c>
      <c r="AH187" s="123" t="str">
        <f t="shared" si="191"/>
        <v/>
      </c>
      <c r="AI187" s="123" t="str">
        <f t="shared" si="192"/>
        <v/>
      </c>
      <c r="AJ187" s="123" t="str">
        <f t="shared" si="193"/>
        <v/>
      </c>
      <c r="AK187" s="123" t="str">
        <f t="shared" si="194"/>
        <v/>
      </c>
      <c r="AL187" s="123" t="str">
        <f t="shared" si="195"/>
        <v/>
      </c>
      <c r="AM187" s="123" t="str">
        <f t="shared" si="196"/>
        <v/>
      </c>
      <c r="AN187" s="123" t="str">
        <f t="shared" si="197"/>
        <v/>
      </c>
      <c r="AO187" s="123" t="str">
        <f t="shared" si="198"/>
        <v/>
      </c>
      <c r="AP187" s="123" t="str">
        <f t="shared" si="199"/>
        <v/>
      </c>
      <c r="AQ187" s="131" t="str">
        <f t="shared" si="200"/>
        <v/>
      </c>
      <c r="AR187" s="123" t="str">
        <f t="shared" si="201"/>
        <v/>
      </c>
      <c r="AS187" s="1002"/>
      <c r="AT187" s="446"/>
      <c r="AU187" s="132" t="str">
        <f t="shared" si="202"/>
        <v/>
      </c>
      <c r="AV187" s="17"/>
      <c r="AW187" s="125" t="str">
        <f t="shared" si="203"/>
        <v/>
      </c>
      <c r="AX187" s="16"/>
      <c r="AY187" s="26"/>
    </row>
    <row r="188" spans="2:51">
      <c r="B188" s="512"/>
      <c r="C188" s="125"/>
      <c r="D188" s="124" t="str">
        <f t="shared" si="161"/>
        <v/>
      </c>
      <c r="E188" s="124" t="str">
        <f t="shared" si="162"/>
        <v/>
      </c>
      <c r="F188" s="125" t="str">
        <f t="shared" si="163"/>
        <v/>
      </c>
      <c r="G188" s="123" t="str">
        <f t="shared" si="164"/>
        <v/>
      </c>
      <c r="H188" s="123" t="str">
        <f t="shared" si="165"/>
        <v/>
      </c>
      <c r="I188" s="124" t="str">
        <f t="shared" si="166"/>
        <v/>
      </c>
      <c r="J188" s="124" t="str">
        <f t="shared" si="167"/>
        <v/>
      </c>
      <c r="K188" s="125" t="str">
        <f t="shared" si="168"/>
        <v/>
      </c>
      <c r="L188" s="125" t="str">
        <f t="shared" si="169"/>
        <v/>
      </c>
      <c r="M188" s="123" t="str">
        <f t="shared" si="170"/>
        <v/>
      </c>
      <c r="N188" s="123" t="str">
        <f t="shared" si="171"/>
        <v/>
      </c>
      <c r="O188" s="123" t="str">
        <f t="shared" si="172"/>
        <v/>
      </c>
      <c r="P188" s="123" t="str">
        <f t="shared" si="173"/>
        <v/>
      </c>
      <c r="Q188" s="123" t="str">
        <f t="shared" si="174"/>
        <v/>
      </c>
      <c r="R188" s="123" t="str">
        <f t="shared" si="175"/>
        <v/>
      </c>
      <c r="S188" s="123" t="str">
        <f t="shared" si="176"/>
        <v/>
      </c>
      <c r="T188" s="123" t="str">
        <f t="shared" si="177"/>
        <v/>
      </c>
      <c r="U188" s="123" t="str">
        <f t="shared" si="178"/>
        <v/>
      </c>
      <c r="V188" s="123" t="str">
        <f t="shared" si="179"/>
        <v/>
      </c>
      <c r="W188" s="19" t="str">
        <f t="shared" si="180"/>
        <v/>
      </c>
      <c r="X188" s="19" t="str">
        <f t="shared" si="181"/>
        <v/>
      </c>
      <c r="Y188" s="19" t="str">
        <f t="shared" si="182"/>
        <v/>
      </c>
      <c r="Z188" s="19" t="str">
        <f t="shared" si="183"/>
        <v/>
      </c>
      <c r="AA188" s="19" t="str">
        <f t="shared" si="184"/>
        <v/>
      </c>
      <c r="AB188" s="19" t="str">
        <f t="shared" si="185"/>
        <v/>
      </c>
      <c r="AC188" s="19" t="str">
        <f t="shared" si="186"/>
        <v/>
      </c>
      <c r="AD188" s="19" t="str">
        <f t="shared" si="187"/>
        <v/>
      </c>
      <c r="AE188" s="19" t="str">
        <f t="shared" si="188"/>
        <v/>
      </c>
      <c r="AF188" s="19" t="str">
        <f t="shared" si="189"/>
        <v/>
      </c>
      <c r="AG188" s="123" t="str">
        <f t="shared" si="190"/>
        <v/>
      </c>
      <c r="AH188" s="123" t="str">
        <f t="shared" si="191"/>
        <v/>
      </c>
      <c r="AI188" s="123" t="str">
        <f t="shared" si="192"/>
        <v/>
      </c>
      <c r="AJ188" s="123" t="str">
        <f t="shared" si="193"/>
        <v/>
      </c>
      <c r="AK188" s="123" t="str">
        <f t="shared" si="194"/>
        <v/>
      </c>
      <c r="AL188" s="123" t="str">
        <f t="shared" si="195"/>
        <v/>
      </c>
      <c r="AM188" s="123" t="str">
        <f t="shared" si="196"/>
        <v/>
      </c>
      <c r="AN188" s="123" t="str">
        <f t="shared" si="197"/>
        <v/>
      </c>
      <c r="AO188" s="123" t="str">
        <f t="shared" si="198"/>
        <v/>
      </c>
      <c r="AP188" s="123" t="str">
        <f t="shared" si="199"/>
        <v/>
      </c>
      <c r="AQ188" s="131" t="str">
        <f t="shared" si="200"/>
        <v/>
      </c>
      <c r="AR188" s="123" t="str">
        <f t="shared" si="201"/>
        <v/>
      </c>
      <c r="AS188" s="1002"/>
      <c r="AT188" s="446"/>
      <c r="AU188" s="132" t="str">
        <f t="shared" si="202"/>
        <v/>
      </c>
      <c r="AV188" s="17"/>
      <c r="AW188" s="125" t="str">
        <f t="shared" si="203"/>
        <v/>
      </c>
      <c r="AX188" s="16"/>
      <c r="AY188" s="26"/>
    </row>
    <row r="189" spans="2:51">
      <c r="B189" s="512"/>
      <c r="C189" s="125"/>
      <c r="D189" s="124" t="str">
        <f t="shared" si="161"/>
        <v/>
      </c>
      <c r="E189" s="124" t="str">
        <f t="shared" si="162"/>
        <v/>
      </c>
      <c r="F189" s="125" t="str">
        <f t="shared" si="163"/>
        <v/>
      </c>
      <c r="G189" s="123" t="str">
        <f t="shared" si="164"/>
        <v/>
      </c>
      <c r="H189" s="123" t="str">
        <f t="shared" si="165"/>
        <v/>
      </c>
      <c r="I189" s="124" t="str">
        <f t="shared" si="166"/>
        <v/>
      </c>
      <c r="J189" s="124" t="str">
        <f t="shared" si="167"/>
        <v/>
      </c>
      <c r="K189" s="125" t="str">
        <f t="shared" si="168"/>
        <v/>
      </c>
      <c r="L189" s="125" t="str">
        <f t="shared" si="169"/>
        <v/>
      </c>
      <c r="M189" s="123" t="str">
        <f t="shared" si="170"/>
        <v/>
      </c>
      <c r="N189" s="123" t="str">
        <f t="shared" si="171"/>
        <v/>
      </c>
      <c r="O189" s="123" t="str">
        <f t="shared" si="172"/>
        <v/>
      </c>
      <c r="P189" s="123" t="str">
        <f t="shared" si="173"/>
        <v/>
      </c>
      <c r="Q189" s="123" t="str">
        <f t="shared" si="174"/>
        <v/>
      </c>
      <c r="R189" s="123" t="str">
        <f t="shared" si="175"/>
        <v/>
      </c>
      <c r="S189" s="123" t="str">
        <f t="shared" si="176"/>
        <v/>
      </c>
      <c r="T189" s="123" t="str">
        <f t="shared" si="177"/>
        <v/>
      </c>
      <c r="U189" s="123" t="str">
        <f t="shared" si="178"/>
        <v/>
      </c>
      <c r="V189" s="123" t="str">
        <f t="shared" si="179"/>
        <v/>
      </c>
      <c r="W189" s="19" t="str">
        <f t="shared" si="180"/>
        <v/>
      </c>
      <c r="X189" s="19" t="str">
        <f t="shared" si="181"/>
        <v/>
      </c>
      <c r="Y189" s="19" t="str">
        <f t="shared" si="182"/>
        <v/>
      </c>
      <c r="Z189" s="19" t="str">
        <f t="shared" si="183"/>
        <v/>
      </c>
      <c r="AA189" s="19" t="str">
        <f t="shared" si="184"/>
        <v/>
      </c>
      <c r="AB189" s="19" t="str">
        <f t="shared" si="185"/>
        <v/>
      </c>
      <c r="AC189" s="19" t="str">
        <f t="shared" si="186"/>
        <v/>
      </c>
      <c r="AD189" s="19" t="str">
        <f t="shared" si="187"/>
        <v/>
      </c>
      <c r="AE189" s="19" t="str">
        <f t="shared" si="188"/>
        <v/>
      </c>
      <c r="AF189" s="19" t="str">
        <f t="shared" si="189"/>
        <v/>
      </c>
      <c r="AG189" s="123" t="str">
        <f t="shared" si="190"/>
        <v/>
      </c>
      <c r="AH189" s="123" t="str">
        <f t="shared" si="191"/>
        <v/>
      </c>
      <c r="AI189" s="123" t="str">
        <f t="shared" si="192"/>
        <v/>
      </c>
      <c r="AJ189" s="123" t="str">
        <f t="shared" si="193"/>
        <v/>
      </c>
      <c r="AK189" s="123" t="str">
        <f t="shared" si="194"/>
        <v/>
      </c>
      <c r="AL189" s="123" t="str">
        <f t="shared" si="195"/>
        <v/>
      </c>
      <c r="AM189" s="123" t="str">
        <f t="shared" si="196"/>
        <v/>
      </c>
      <c r="AN189" s="123" t="str">
        <f t="shared" si="197"/>
        <v/>
      </c>
      <c r="AO189" s="123" t="str">
        <f t="shared" si="198"/>
        <v/>
      </c>
      <c r="AP189" s="123" t="str">
        <f t="shared" si="199"/>
        <v/>
      </c>
      <c r="AQ189" s="131" t="str">
        <f t="shared" si="200"/>
        <v/>
      </c>
      <c r="AR189" s="123" t="str">
        <f t="shared" si="201"/>
        <v/>
      </c>
      <c r="AS189" s="1002"/>
      <c r="AT189" s="446"/>
      <c r="AU189" s="132" t="str">
        <f t="shared" si="202"/>
        <v/>
      </c>
      <c r="AV189" s="17"/>
      <c r="AW189" s="125" t="str">
        <f t="shared" si="203"/>
        <v/>
      </c>
      <c r="AX189" s="16"/>
      <c r="AY189" s="26"/>
    </row>
    <row r="190" spans="2:51">
      <c r="B190" s="512"/>
      <c r="C190" s="125"/>
      <c r="D190" s="124" t="str">
        <f t="shared" si="161"/>
        <v/>
      </c>
      <c r="E190" s="124" t="str">
        <f t="shared" si="162"/>
        <v/>
      </c>
      <c r="F190" s="125" t="str">
        <f t="shared" si="163"/>
        <v/>
      </c>
      <c r="G190" s="123" t="str">
        <f t="shared" si="164"/>
        <v/>
      </c>
      <c r="H190" s="123" t="str">
        <f t="shared" si="165"/>
        <v/>
      </c>
      <c r="I190" s="124" t="str">
        <f t="shared" si="166"/>
        <v/>
      </c>
      <c r="J190" s="124" t="str">
        <f t="shared" si="167"/>
        <v/>
      </c>
      <c r="K190" s="125" t="str">
        <f t="shared" si="168"/>
        <v/>
      </c>
      <c r="L190" s="125" t="str">
        <f t="shared" si="169"/>
        <v/>
      </c>
      <c r="M190" s="123" t="str">
        <f t="shared" si="170"/>
        <v/>
      </c>
      <c r="N190" s="123" t="str">
        <f t="shared" si="171"/>
        <v/>
      </c>
      <c r="O190" s="123" t="str">
        <f t="shared" si="172"/>
        <v/>
      </c>
      <c r="P190" s="123" t="str">
        <f t="shared" si="173"/>
        <v/>
      </c>
      <c r="Q190" s="123" t="str">
        <f t="shared" si="174"/>
        <v/>
      </c>
      <c r="R190" s="123" t="str">
        <f t="shared" si="175"/>
        <v/>
      </c>
      <c r="S190" s="123" t="str">
        <f t="shared" si="176"/>
        <v/>
      </c>
      <c r="T190" s="123" t="str">
        <f t="shared" si="177"/>
        <v/>
      </c>
      <c r="U190" s="123" t="str">
        <f t="shared" si="178"/>
        <v/>
      </c>
      <c r="V190" s="123" t="str">
        <f t="shared" si="179"/>
        <v/>
      </c>
      <c r="W190" s="19" t="str">
        <f t="shared" si="180"/>
        <v/>
      </c>
      <c r="X190" s="19" t="str">
        <f t="shared" si="181"/>
        <v/>
      </c>
      <c r="Y190" s="19" t="str">
        <f t="shared" si="182"/>
        <v/>
      </c>
      <c r="Z190" s="19" t="str">
        <f t="shared" si="183"/>
        <v/>
      </c>
      <c r="AA190" s="19" t="str">
        <f t="shared" si="184"/>
        <v/>
      </c>
      <c r="AB190" s="19" t="str">
        <f t="shared" si="185"/>
        <v/>
      </c>
      <c r="AC190" s="19" t="str">
        <f t="shared" si="186"/>
        <v/>
      </c>
      <c r="AD190" s="19" t="str">
        <f t="shared" si="187"/>
        <v/>
      </c>
      <c r="AE190" s="19" t="str">
        <f t="shared" si="188"/>
        <v/>
      </c>
      <c r="AF190" s="19" t="str">
        <f t="shared" si="189"/>
        <v/>
      </c>
      <c r="AG190" s="123" t="str">
        <f t="shared" si="190"/>
        <v/>
      </c>
      <c r="AH190" s="123" t="str">
        <f t="shared" si="191"/>
        <v/>
      </c>
      <c r="AI190" s="123" t="str">
        <f t="shared" si="192"/>
        <v/>
      </c>
      <c r="AJ190" s="123" t="str">
        <f t="shared" si="193"/>
        <v/>
      </c>
      <c r="AK190" s="123" t="str">
        <f t="shared" si="194"/>
        <v/>
      </c>
      <c r="AL190" s="123" t="str">
        <f t="shared" si="195"/>
        <v/>
      </c>
      <c r="AM190" s="123" t="str">
        <f t="shared" si="196"/>
        <v/>
      </c>
      <c r="AN190" s="123" t="str">
        <f t="shared" si="197"/>
        <v/>
      </c>
      <c r="AO190" s="123" t="str">
        <f t="shared" si="198"/>
        <v/>
      </c>
      <c r="AP190" s="123" t="str">
        <f t="shared" si="199"/>
        <v/>
      </c>
      <c r="AQ190" s="131" t="str">
        <f t="shared" si="200"/>
        <v/>
      </c>
      <c r="AR190" s="123" t="str">
        <f t="shared" si="201"/>
        <v/>
      </c>
      <c r="AS190" s="1002"/>
      <c r="AT190" s="446"/>
      <c r="AU190" s="132" t="str">
        <f t="shared" si="202"/>
        <v/>
      </c>
      <c r="AV190" s="17"/>
      <c r="AW190" s="125" t="str">
        <f t="shared" si="203"/>
        <v/>
      </c>
      <c r="AX190" s="16"/>
      <c r="AY190" s="26"/>
    </row>
    <row r="191" spans="2:51">
      <c r="B191" s="512"/>
      <c r="C191" s="125"/>
      <c r="D191" s="124" t="str">
        <f t="shared" si="161"/>
        <v/>
      </c>
      <c r="E191" s="124" t="str">
        <f t="shared" si="162"/>
        <v/>
      </c>
      <c r="F191" s="125" t="str">
        <f t="shared" si="163"/>
        <v/>
      </c>
      <c r="G191" s="123" t="str">
        <f t="shared" si="164"/>
        <v/>
      </c>
      <c r="H191" s="123" t="str">
        <f t="shared" si="165"/>
        <v/>
      </c>
      <c r="I191" s="124" t="str">
        <f t="shared" si="166"/>
        <v/>
      </c>
      <c r="J191" s="124" t="str">
        <f t="shared" si="167"/>
        <v/>
      </c>
      <c r="K191" s="125" t="str">
        <f t="shared" si="168"/>
        <v/>
      </c>
      <c r="L191" s="125" t="str">
        <f t="shared" si="169"/>
        <v/>
      </c>
      <c r="M191" s="123" t="str">
        <f t="shared" si="170"/>
        <v/>
      </c>
      <c r="N191" s="123" t="str">
        <f t="shared" si="171"/>
        <v/>
      </c>
      <c r="O191" s="123" t="str">
        <f t="shared" si="172"/>
        <v/>
      </c>
      <c r="P191" s="123" t="str">
        <f t="shared" si="173"/>
        <v/>
      </c>
      <c r="Q191" s="123" t="str">
        <f t="shared" si="174"/>
        <v/>
      </c>
      <c r="R191" s="123" t="str">
        <f t="shared" si="175"/>
        <v/>
      </c>
      <c r="S191" s="123" t="str">
        <f t="shared" si="176"/>
        <v/>
      </c>
      <c r="T191" s="123" t="str">
        <f t="shared" si="177"/>
        <v/>
      </c>
      <c r="U191" s="123" t="str">
        <f t="shared" si="178"/>
        <v/>
      </c>
      <c r="V191" s="123" t="str">
        <f t="shared" si="179"/>
        <v/>
      </c>
      <c r="W191" s="19" t="str">
        <f t="shared" si="180"/>
        <v/>
      </c>
      <c r="X191" s="19" t="str">
        <f t="shared" si="181"/>
        <v/>
      </c>
      <c r="Y191" s="19" t="str">
        <f t="shared" si="182"/>
        <v/>
      </c>
      <c r="Z191" s="19" t="str">
        <f t="shared" si="183"/>
        <v/>
      </c>
      <c r="AA191" s="19" t="str">
        <f t="shared" si="184"/>
        <v/>
      </c>
      <c r="AB191" s="19" t="str">
        <f t="shared" si="185"/>
        <v/>
      </c>
      <c r="AC191" s="19" t="str">
        <f t="shared" si="186"/>
        <v/>
      </c>
      <c r="AD191" s="19" t="str">
        <f t="shared" si="187"/>
        <v/>
      </c>
      <c r="AE191" s="19" t="str">
        <f t="shared" si="188"/>
        <v/>
      </c>
      <c r="AF191" s="19" t="str">
        <f t="shared" si="189"/>
        <v/>
      </c>
      <c r="AG191" s="123" t="str">
        <f t="shared" si="190"/>
        <v/>
      </c>
      <c r="AH191" s="123" t="str">
        <f t="shared" si="191"/>
        <v/>
      </c>
      <c r="AI191" s="123" t="str">
        <f t="shared" si="192"/>
        <v/>
      </c>
      <c r="AJ191" s="123" t="str">
        <f t="shared" si="193"/>
        <v/>
      </c>
      <c r="AK191" s="123" t="str">
        <f t="shared" si="194"/>
        <v/>
      </c>
      <c r="AL191" s="123" t="str">
        <f t="shared" si="195"/>
        <v/>
      </c>
      <c r="AM191" s="123" t="str">
        <f t="shared" si="196"/>
        <v/>
      </c>
      <c r="AN191" s="123" t="str">
        <f t="shared" si="197"/>
        <v/>
      </c>
      <c r="AO191" s="123" t="str">
        <f t="shared" si="198"/>
        <v/>
      </c>
      <c r="AP191" s="123" t="str">
        <f t="shared" si="199"/>
        <v/>
      </c>
      <c r="AQ191" s="131" t="str">
        <f t="shared" si="200"/>
        <v/>
      </c>
      <c r="AR191" s="123" t="str">
        <f t="shared" si="201"/>
        <v/>
      </c>
      <c r="AS191" s="1002"/>
      <c r="AT191" s="446"/>
      <c r="AU191" s="132" t="str">
        <f t="shared" si="202"/>
        <v/>
      </c>
      <c r="AV191" s="17"/>
      <c r="AW191" s="125" t="str">
        <f t="shared" si="203"/>
        <v/>
      </c>
      <c r="AX191" s="16"/>
      <c r="AY191" s="26"/>
    </row>
    <row r="192" spans="2:51">
      <c r="B192" s="512"/>
      <c r="C192" s="125"/>
      <c r="D192" s="124" t="str">
        <f t="shared" si="161"/>
        <v/>
      </c>
      <c r="E192" s="124" t="str">
        <f t="shared" si="162"/>
        <v/>
      </c>
      <c r="F192" s="125" t="str">
        <f t="shared" si="163"/>
        <v/>
      </c>
      <c r="G192" s="123" t="str">
        <f t="shared" si="164"/>
        <v/>
      </c>
      <c r="H192" s="123" t="str">
        <f t="shared" si="165"/>
        <v/>
      </c>
      <c r="I192" s="124" t="str">
        <f t="shared" si="166"/>
        <v/>
      </c>
      <c r="J192" s="124" t="str">
        <f t="shared" si="167"/>
        <v/>
      </c>
      <c r="K192" s="125" t="str">
        <f t="shared" si="168"/>
        <v/>
      </c>
      <c r="L192" s="125" t="str">
        <f t="shared" si="169"/>
        <v/>
      </c>
      <c r="M192" s="123" t="str">
        <f t="shared" si="170"/>
        <v/>
      </c>
      <c r="N192" s="123" t="str">
        <f t="shared" si="171"/>
        <v/>
      </c>
      <c r="O192" s="123" t="str">
        <f t="shared" si="172"/>
        <v/>
      </c>
      <c r="P192" s="123" t="str">
        <f t="shared" si="173"/>
        <v/>
      </c>
      <c r="Q192" s="123" t="str">
        <f t="shared" si="174"/>
        <v/>
      </c>
      <c r="R192" s="123" t="str">
        <f t="shared" si="175"/>
        <v/>
      </c>
      <c r="S192" s="123" t="str">
        <f t="shared" si="176"/>
        <v/>
      </c>
      <c r="T192" s="123" t="str">
        <f t="shared" si="177"/>
        <v/>
      </c>
      <c r="U192" s="123" t="str">
        <f t="shared" si="178"/>
        <v/>
      </c>
      <c r="V192" s="123" t="str">
        <f t="shared" si="179"/>
        <v/>
      </c>
      <c r="W192" s="19" t="str">
        <f t="shared" si="180"/>
        <v/>
      </c>
      <c r="X192" s="19" t="str">
        <f t="shared" si="181"/>
        <v/>
      </c>
      <c r="Y192" s="19" t="str">
        <f t="shared" si="182"/>
        <v/>
      </c>
      <c r="Z192" s="19" t="str">
        <f t="shared" si="183"/>
        <v/>
      </c>
      <c r="AA192" s="19" t="str">
        <f t="shared" si="184"/>
        <v/>
      </c>
      <c r="AB192" s="19" t="str">
        <f t="shared" si="185"/>
        <v/>
      </c>
      <c r="AC192" s="19" t="str">
        <f t="shared" si="186"/>
        <v/>
      </c>
      <c r="AD192" s="19" t="str">
        <f t="shared" si="187"/>
        <v/>
      </c>
      <c r="AE192" s="19" t="str">
        <f t="shared" si="188"/>
        <v/>
      </c>
      <c r="AF192" s="19" t="str">
        <f t="shared" si="189"/>
        <v/>
      </c>
      <c r="AG192" s="123" t="str">
        <f t="shared" si="190"/>
        <v/>
      </c>
      <c r="AH192" s="123" t="str">
        <f t="shared" si="191"/>
        <v/>
      </c>
      <c r="AI192" s="123" t="str">
        <f t="shared" si="192"/>
        <v/>
      </c>
      <c r="AJ192" s="123" t="str">
        <f t="shared" si="193"/>
        <v/>
      </c>
      <c r="AK192" s="123" t="str">
        <f t="shared" si="194"/>
        <v/>
      </c>
      <c r="AL192" s="123" t="str">
        <f t="shared" si="195"/>
        <v/>
      </c>
      <c r="AM192" s="123" t="str">
        <f t="shared" si="196"/>
        <v/>
      </c>
      <c r="AN192" s="123" t="str">
        <f t="shared" si="197"/>
        <v/>
      </c>
      <c r="AO192" s="123" t="str">
        <f t="shared" si="198"/>
        <v/>
      </c>
      <c r="AP192" s="123" t="str">
        <f t="shared" si="199"/>
        <v/>
      </c>
      <c r="AQ192" s="131" t="str">
        <f t="shared" si="200"/>
        <v/>
      </c>
      <c r="AR192" s="123" t="str">
        <f t="shared" si="201"/>
        <v/>
      </c>
      <c r="AS192" s="1002"/>
      <c r="AT192" s="446"/>
      <c r="AU192" s="132" t="str">
        <f t="shared" si="202"/>
        <v/>
      </c>
      <c r="AV192" s="17"/>
      <c r="AW192" s="125" t="str">
        <f t="shared" si="203"/>
        <v/>
      </c>
      <c r="AX192" s="16"/>
      <c r="AY192" s="26"/>
    </row>
    <row r="193" spans="2:51">
      <c r="B193" s="512"/>
      <c r="C193" s="125"/>
      <c r="D193" s="124" t="str">
        <f t="shared" si="161"/>
        <v/>
      </c>
      <c r="E193" s="124" t="str">
        <f t="shared" si="162"/>
        <v/>
      </c>
      <c r="F193" s="125" t="str">
        <f t="shared" si="163"/>
        <v/>
      </c>
      <c r="G193" s="123" t="str">
        <f t="shared" si="164"/>
        <v/>
      </c>
      <c r="H193" s="123" t="str">
        <f t="shared" si="165"/>
        <v/>
      </c>
      <c r="I193" s="124" t="str">
        <f t="shared" si="166"/>
        <v/>
      </c>
      <c r="J193" s="124" t="str">
        <f t="shared" si="167"/>
        <v/>
      </c>
      <c r="K193" s="125" t="str">
        <f t="shared" si="168"/>
        <v/>
      </c>
      <c r="L193" s="125" t="str">
        <f t="shared" si="169"/>
        <v/>
      </c>
      <c r="M193" s="123" t="str">
        <f t="shared" si="170"/>
        <v/>
      </c>
      <c r="N193" s="123" t="str">
        <f t="shared" si="171"/>
        <v/>
      </c>
      <c r="O193" s="123" t="str">
        <f t="shared" si="172"/>
        <v/>
      </c>
      <c r="P193" s="123" t="str">
        <f t="shared" si="173"/>
        <v/>
      </c>
      <c r="Q193" s="123" t="str">
        <f t="shared" si="174"/>
        <v/>
      </c>
      <c r="R193" s="123" t="str">
        <f t="shared" si="175"/>
        <v/>
      </c>
      <c r="S193" s="123" t="str">
        <f t="shared" si="176"/>
        <v/>
      </c>
      <c r="T193" s="123" t="str">
        <f t="shared" si="177"/>
        <v/>
      </c>
      <c r="U193" s="123" t="str">
        <f t="shared" si="178"/>
        <v/>
      </c>
      <c r="V193" s="123" t="str">
        <f t="shared" si="179"/>
        <v/>
      </c>
      <c r="W193" s="19" t="str">
        <f t="shared" si="180"/>
        <v/>
      </c>
      <c r="X193" s="19" t="str">
        <f t="shared" si="181"/>
        <v/>
      </c>
      <c r="Y193" s="19" t="str">
        <f t="shared" si="182"/>
        <v/>
      </c>
      <c r="Z193" s="19" t="str">
        <f t="shared" si="183"/>
        <v/>
      </c>
      <c r="AA193" s="19" t="str">
        <f t="shared" si="184"/>
        <v/>
      </c>
      <c r="AB193" s="19" t="str">
        <f t="shared" si="185"/>
        <v/>
      </c>
      <c r="AC193" s="19" t="str">
        <f t="shared" si="186"/>
        <v/>
      </c>
      <c r="AD193" s="19" t="str">
        <f t="shared" si="187"/>
        <v/>
      </c>
      <c r="AE193" s="19" t="str">
        <f t="shared" si="188"/>
        <v/>
      </c>
      <c r="AF193" s="19" t="str">
        <f t="shared" si="189"/>
        <v/>
      </c>
      <c r="AG193" s="123" t="str">
        <f t="shared" si="190"/>
        <v/>
      </c>
      <c r="AH193" s="123" t="str">
        <f t="shared" si="191"/>
        <v/>
      </c>
      <c r="AI193" s="123" t="str">
        <f t="shared" si="192"/>
        <v/>
      </c>
      <c r="AJ193" s="123" t="str">
        <f t="shared" si="193"/>
        <v/>
      </c>
      <c r="AK193" s="123" t="str">
        <f t="shared" si="194"/>
        <v/>
      </c>
      <c r="AL193" s="123" t="str">
        <f t="shared" si="195"/>
        <v/>
      </c>
      <c r="AM193" s="123" t="str">
        <f t="shared" si="196"/>
        <v/>
      </c>
      <c r="AN193" s="123" t="str">
        <f t="shared" si="197"/>
        <v/>
      </c>
      <c r="AO193" s="123" t="str">
        <f t="shared" si="198"/>
        <v/>
      </c>
      <c r="AP193" s="123" t="str">
        <f t="shared" si="199"/>
        <v/>
      </c>
      <c r="AQ193" s="131" t="str">
        <f t="shared" si="200"/>
        <v/>
      </c>
      <c r="AR193" s="123" t="str">
        <f t="shared" si="201"/>
        <v/>
      </c>
      <c r="AS193" s="1002"/>
      <c r="AT193" s="446"/>
      <c r="AU193" s="132" t="str">
        <f t="shared" si="202"/>
        <v/>
      </c>
      <c r="AV193" s="17"/>
      <c r="AW193" s="125" t="str">
        <f t="shared" si="203"/>
        <v/>
      </c>
      <c r="AX193" s="16"/>
      <c r="AY193" s="26"/>
    </row>
    <row r="194" spans="2:51">
      <c r="B194" s="512"/>
      <c r="C194" s="125"/>
      <c r="D194" s="124" t="str">
        <f t="shared" si="161"/>
        <v/>
      </c>
      <c r="E194" s="124" t="str">
        <f t="shared" si="162"/>
        <v/>
      </c>
      <c r="F194" s="125" t="str">
        <f t="shared" si="163"/>
        <v/>
      </c>
      <c r="G194" s="123" t="str">
        <f t="shared" si="164"/>
        <v/>
      </c>
      <c r="H194" s="123" t="str">
        <f t="shared" si="165"/>
        <v/>
      </c>
      <c r="I194" s="124" t="str">
        <f t="shared" si="166"/>
        <v/>
      </c>
      <c r="J194" s="124" t="str">
        <f t="shared" si="167"/>
        <v/>
      </c>
      <c r="K194" s="125" t="str">
        <f t="shared" si="168"/>
        <v/>
      </c>
      <c r="L194" s="125" t="str">
        <f t="shared" si="169"/>
        <v/>
      </c>
      <c r="M194" s="123" t="str">
        <f t="shared" si="170"/>
        <v/>
      </c>
      <c r="N194" s="123" t="str">
        <f t="shared" si="171"/>
        <v/>
      </c>
      <c r="O194" s="123" t="str">
        <f t="shared" si="172"/>
        <v/>
      </c>
      <c r="P194" s="123" t="str">
        <f t="shared" si="173"/>
        <v/>
      </c>
      <c r="Q194" s="123" t="str">
        <f t="shared" si="174"/>
        <v/>
      </c>
      <c r="R194" s="123" t="str">
        <f t="shared" si="175"/>
        <v/>
      </c>
      <c r="S194" s="123" t="str">
        <f t="shared" si="176"/>
        <v/>
      </c>
      <c r="T194" s="123" t="str">
        <f t="shared" si="177"/>
        <v/>
      </c>
      <c r="U194" s="123" t="str">
        <f t="shared" si="178"/>
        <v/>
      </c>
      <c r="V194" s="123" t="str">
        <f t="shared" si="179"/>
        <v/>
      </c>
      <c r="W194" s="19" t="str">
        <f t="shared" si="180"/>
        <v/>
      </c>
      <c r="X194" s="19" t="str">
        <f t="shared" si="181"/>
        <v/>
      </c>
      <c r="Y194" s="19" t="str">
        <f t="shared" si="182"/>
        <v/>
      </c>
      <c r="Z194" s="19" t="str">
        <f t="shared" si="183"/>
        <v/>
      </c>
      <c r="AA194" s="19" t="str">
        <f t="shared" si="184"/>
        <v/>
      </c>
      <c r="AB194" s="19" t="str">
        <f t="shared" si="185"/>
        <v/>
      </c>
      <c r="AC194" s="19" t="str">
        <f t="shared" si="186"/>
        <v/>
      </c>
      <c r="AD194" s="19" t="str">
        <f t="shared" si="187"/>
        <v/>
      </c>
      <c r="AE194" s="19" t="str">
        <f t="shared" si="188"/>
        <v/>
      </c>
      <c r="AF194" s="19" t="str">
        <f t="shared" si="189"/>
        <v/>
      </c>
      <c r="AG194" s="123" t="str">
        <f t="shared" si="190"/>
        <v/>
      </c>
      <c r="AH194" s="123" t="str">
        <f t="shared" si="191"/>
        <v/>
      </c>
      <c r="AI194" s="123" t="str">
        <f t="shared" si="192"/>
        <v/>
      </c>
      <c r="AJ194" s="123" t="str">
        <f t="shared" si="193"/>
        <v/>
      </c>
      <c r="AK194" s="123" t="str">
        <f t="shared" si="194"/>
        <v/>
      </c>
      <c r="AL194" s="123" t="str">
        <f t="shared" si="195"/>
        <v/>
      </c>
      <c r="AM194" s="123" t="str">
        <f t="shared" si="196"/>
        <v/>
      </c>
      <c r="AN194" s="123" t="str">
        <f t="shared" si="197"/>
        <v/>
      </c>
      <c r="AO194" s="123" t="str">
        <f t="shared" si="198"/>
        <v/>
      </c>
      <c r="AP194" s="123" t="str">
        <f t="shared" si="199"/>
        <v/>
      </c>
      <c r="AQ194" s="131" t="str">
        <f t="shared" si="200"/>
        <v/>
      </c>
      <c r="AR194" s="123" t="str">
        <f t="shared" si="201"/>
        <v/>
      </c>
      <c r="AS194" s="1002"/>
      <c r="AT194" s="446"/>
      <c r="AU194" s="132" t="str">
        <f t="shared" si="202"/>
        <v/>
      </c>
      <c r="AV194" s="17"/>
      <c r="AW194" s="125" t="str">
        <f t="shared" si="203"/>
        <v/>
      </c>
      <c r="AX194" s="16"/>
      <c r="AY194" s="26"/>
    </row>
    <row r="195" spans="2:51">
      <c r="B195" s="512"/>
      <c r="C195" s="125"/>
      <c r="D195" s="124" t="str">
        <f t="shared" si="161"/>
        <v/>
      </c>
      <c r="E195" s="124" t="str">
        <f t="shared" si="162"/>
        <v/>
      </c>
      <c r="F195" s="125" t="str">
        <f t="shared" si="163"/>
        <v/>
      </c>
      <c r="G195" s="123" t="str">
        <f t="shared" si="164"/>
        <v/>
      </c>
      <c r="H195" s="123" t="str">
        <f t="shared" si="165"/>
        <v/>
      </c>
      <c r="I195" s="124" t="str">
        <f t="shared" si="166"/>
        <v/>
      </c>
      <c r="J195" s="124" t="str">
        <f t="shared" si="167"/>
        <v/>
      </c>
      <c r="K195" s="125" t="str">
        <f t="shared" si="168"/>
        <v/>
      </c>
      <c r="L195" s="125" t="str">
        <f t="shared" si="169"/>
        <v/>
      </c>
      <c r="M195" s="123" t="str">
        <f t="shared" si="170"/>
        <v/>
      </c>
      <c r="N195" s="123" t="str">
        <f t="shared" si="171"/>
        <v/>
      </c>
      <c r="O195" s="123" t="str">
        <f t="shared" si="172"/>
        <v/>
      </c>
      <c r="P195" s="123" t="str">
        <f t="shared" si="173"/>
        <v/>
      </c>
      <c r="Q195" s="123" t="str">
        <f t="shared" si="174"/>
        <v/>
      </c>
      <c r="R195" s="123" t="str">
        <f t="shared" si="175"/>
        <v/>
      </c>
      <c r="S195" s="123" t="str">
        <f t="shared" si="176"/>
        <v/>
      </c>
      <c r="T195" s="123" t="str">
        <f t="shared" si="177"/>
        <v/>
      </c>
      <c r="U195" s="123" t="str">
        <f t="shared" si="178"/>
        <v/>
      </c>
      <c r="V195" s="123" t="str">
        <f t="shared" si="179"/>
        <v/>
      </c>
      <c r="W195" s="19" t="str">
        <f t="shared" si="180"/>
        <v/>
      </c>
      <c r="X195" s="19" t="str">
        <f t="shared" si="181"/>
        <v/>
      </c>
      <c r="Y195" s="19" t="str">
        <f t="shared" si="182"/>
        <v/>
      </c>
      <c r="Z195" s="19" t="str">
        <f t="shared" si="183"/>
        <v/>
      </c>
      <c r="AA195" s="19" t="str">
        <f t="shared" si="184"/>
        <v/>
      </c>
      <c r="AB195" s="19" t="str">
        <f t="shared" si="185"/>
        <v/>
      </c>
      <c r="AC195" s="19" t="str">
        <f t="shared" si="186"/>
        <v/>
      </c>
      <c r="AD195" s="19" t="str">
        <f t="shared" si="187"/>
        <v/>
      </c>
      <c r="AE195" s="19" t="str">
        <f t="shared" si="188"/>
        <v/>
      </c>
      <c r="AF195" s="19" t="str">
        <f t="shared" si="189"/>
        <v/>
      </c>
      <c r="AG195" s="123" t="str">
        <f t="shared" si="190"/>
        <v/>
      </c>
      <c r="AH195" s="123" t="str">
        <f t="shared" si="191"/>
        <v/>
      </c>
      <c r="AI195" s="123" t="str">
        <f t="shared" si="192"/>
        <v/>
      </c>
      <c r="AJ195" s="123" t="str">
        <f t="shared" si="193"/>
        <v/>
      </c>
      <c r="AK195" s="123" t="str">
        <f t="shared" si="194"/>
        <v/>
      </c>
      <c r="AL195" s="123" t="str">
        <f t="shared" si="195"/>
        <v/>
      </c>
      <c r="AM195" s="123" t="str">
        <f t="shared" si="196"/>
        <v/>
      </c>
      <c r="AN195" s="123" t="str">
        <f t="shared" si="197"/>
        <v/>
      </c>
      <c r="AO195" s="123" t="str">
        <f t="shared" si="198"/>
        <v/>
      </c>
      <c r="AP195" s="123" t="str">
        <f t="shared" si="199"/>
        <v/>
      </c>
      <c r="AQ195" s="131" t="str">
        <f t="shared" si="200"/>
        <v/>
      </c>
      <c r="AR195" s="123" t="str">
        <f t="shared" si="201"/>
        <v/>
      </c>
      <c r="AS195" s="1002"/>
      <c r="AT195" s="446"/>
      <c r="AU195" s="132" t="str">
        <f t="shared" si="202"/>
        <v/>
      </c>
      <c r="AV195" s="17"/>
      <c r="AW195" s="125" t="str">
        <f t="shared" si="203"/>
        <v/>
      </c>
      <c r="AX195" s="16"/>
      <c r="AY195" s="26"/>
    </row>
    <row r="196" spans="2:51">
      <c r="B196" s="512"/>
      <c r="C196" s="125"/>
      <c r="D196" s="124" t="str">
        <f t="shared" si="161"/>
        <v/>
      </c>
      <c r="E196" s="124" t="str">
        <f t="shared" si="162"/>
        <v/>
      </c>
      <c r="F196" s="125" t="str">
        <f t="shared" si="163"/>
        <v/>
      </c>
      <c r="G196" s="123" t="str">
        <f t="shared" si="164"/>
        <v/>
      </c>
      <c r="H196" s="123" t="str">
        <f t="shared" si="165"/>
        <v/>
      </c>
      <c r="I196" s="124" t="str">
        <f t="shared" si="166"/>
        <v/>
      </c>
      <c r="J196" s="124" t="str">
        <f t="shared" si="167"/>
        <v/>
      </c>
      <c r="K196" s="125" t="str">
        <f t="shared" si="168"/>
        <v/>
      </c>
      <c r="L196" s="125" t="str">
        <f t="shared" si="169"/>
        <v/>
      </c>
      <c r="M196" s="123" t="str">
        <f t="shared" si="170"/>
        <v/>
      </c>
      <c r="N196" s="123" t="str">
        <f t="shared" si="171"/>
        <v/>
      </c>
      <c r="O196" s="123" t="str">
        <f t="shared" si="172"/>
        <v/>
      </c>
      <c r="P196" s="123" t="str">
        <f t="shared" si="173"/>
        <v/>
      </c>
      <c r="Q196" s="123" t="str">
        <f t="shared" si="174"/>
        <v/>
      </c>
      <c r="R196" s="123" t="str">
        <f t="shared" si="175"/>
        <v/>
      </c>
      <c r="S196" s="123" t="str">
        <f t="shared" si="176"/>
        <v/>
      </c>
      <c r="T196" s="123" t="str">
        <f t="shared" si="177"/>
        <v/>
      </c>
      <c r="U196" s="123" t="str">
        <f t="shared" si="178"/>
        <v/>
      </c>
      <c r="V196" s="123" t="str">
        <f t="shared" si="179"/>
        <v/>
      </c>
      <c r="W196" s="19" t="str">
        <f t="shared" si="180"/>
        <v/>
      </c>
      <c r="X196" s="19" t="str">
        <f t="shared" si="181"/>
        <v/>
      </c>
      <c r="Y196" s="19" t="str">
        <f t="shared" si="182"/>
        <v/>
      </c>
      <c r="Z196" s="19" t="str">
        <f t="shared" si="183"/>
        <v/>
      </c>
      <c r="AA196" s="19" t="str">
        <f t="shared" si="184"/>
        <v/>
      </c>
      <c r="AB196" s="19" t="str">
        <f t="shared" si="185"/>
        <v/>
      </c>
      <c r="AC196" s="19" t="str">
        <f t="shared" si="186"/>
        <v/>
      </c>
      <c r="AD196" s="19" t="str">
        <f t="shared" si="187"/>
        <v/>
      </c>
      <c r="AE196" s="19" t="str">
        <f t="shared" si="188"/>
        <v/>
      </c>
      <c r="AF196" s="19" t="str">
        <f t="shared" si="189"/>
        <v/>
      </c>
      <c r="AG196" s="123" t="str">
        <f t="shared" si="190"/>
        <v/>
      </c>
      <c r="AH196" s="123" t="str">
        <f t="shared" si="191"/>
        <v/>
      </c>
      <c r="AI196" s="123" t="str">
        <f t="shared" si="192"/>
        <v/>
      </c>
      <c r="AJ196" s="123" t="str">
        <f t="shared" si="193"/>
        <v/>
      </c>
      <c r="AK196" s="123" t="str">
        <f t="shared" si="194"/>
        <v/>
      </c>
      <c r="AL196" s="123" t="str">
        <f t="shared" si="195"/>
        <v/>
      </c>
      <c r="AM196" s="123" t="str">
        <f t="shared" si="196"/>
        <v/>
      </c>
      <c r="AN196" s="123" t="str">
        <f t="shared" si="197"/>
        <v/>
      </c>
      <c r="AO196" s="123" t="str">
        <f t="shared" si="198"/>
        <v/>
      </c>
      <c r="AP196" s="123" t="str">
        <f t="shared" si="199"/>
        <v/>
      </c>
      <c r="AQ196" s="131" t="str">
        <f t="shared" si="200"/>
        <v/>
      </c>
      <c r="AR196" s="123" t="str">
        <f t="shared" si="201"/>
        <v/>
      </c>
      <c r="AS196" s="1002"/>
      <c r="AT196" s="446"/>
      <c r="AU196" s="132" t="str">
        <f t="shared" si="202"/>
        <v/>
      </c>
      <c r="AV196" s="17"/>
      <c r="AW196" s="125" t="str">
        <f t="shared" si="203"/>
        <v/>
      </c>
      <c r="AX196" s="16"/>
      <c r="AY196" s="26"/>
    </row>
    <row r="197" spans="2:51">
      <c r="B197" s="512"/>
      <c r="C197" s="125"/>
      <c r="D197" s="124" t="str">
        <f t="shared" si="161"/>
        <v/>
      </c>
      <c r="E197" s="124" t="str">
        <f t="shared" si="162"/>
        <v/>
      </c>
      <c r="F197" s="125" t="str">
        <f t="shared" si="163"/>
        <v/>
      </c>
      <c r="G197" s="123" t="str">
        <f t="shared" si="164"/>
        <v/>
      </c>
      <c r="H197" s="123" t="str">
        <f t="shared" si="165"/>
        <v/>
      </c>
      <c r="I197" s="124" t="str">
        <f t="shared" si="166"/>
        <v/>
      </c>
      <c r="J197" s="124" t="str">
        <f t="shared" si="167"/>
        <v/>
      </c>
      <c r="K197" s="125" t="str">
        <f t="shared" si="168"/>
        <v/>
      </c>
      <c r="L197" s="125" t="str">
        <f t="shared" si="169"/>
        <v/>
      </c>
      <c r="M197" s="123" t="str">
        <f t="shared" si="170"/>
        <v/>
      </c>
      <c r="N197" s="123" t="str">
        <f t="shared" si="171"/>
        <v/>
      </c>
      <c r="O197" s="123" t="str">
        <f t="shared" si="172"/>
        <v/>
      </c>
      <c r="P197" s="123" t="str">
        <f t="shared" si="173"/>
        <v/>
      </c>
      <c r="Q197" s="123" t="str">
        <f t="shared" si="174"/>
        <v/>
      </c>
      <c r="R197" s="123" t="str">
        <f t="shared" si="175"/>
        <v/>
      </c>
      <c r="S197" s="123" t="str">
        <f t="shared" si="176"/>
        <v/>
      </c>
      <c r="T197" s="123" t="str">
        <f t="shared" si="177"/>
        <v/>
      </c>
      <c r="U197" s="123" t="str">
        <f t="shared" si="178"/>
        <v/>
      </c>
      <c r="V197" s="123" t="str">
        <f t="shared" si="179"/>
        <v/>
      </c>
      <c r="W197" s="19" t="str">
        <f t="shared" si="180"/>
        <v/>
      </c>
      <c r="X197" s="19" t="str">
        <f t="shared" si="181"/>
        <v/>
      </c>
      <c r="Y197" s="19" t="str">
        <f t="shared" si="182"/>
        <v/>
      </c>
      <c r="Z197" s="19" t="str">
        <f t="shared" si="183"/>
        <v/>
      </c>
      <c r="AA197" s="19" t="str">
        <f t="shared" si="184"/>
        <v/>
      </c>
      <c r="AB197" s="19" t="str">
        <f t="shared" si="185"/>
        <v/>
      </c>
      <c r="AC197" s="19" t="str">
        <f t="shared" si="186"/>
        <v/>
      </c>
      <c r="AD197" s="19" t="str">
        <f t="shared" si="187"/>
        <v/>
      </c>
      <c r="AE197" s="19" t="str">
        <f t="shared" si="188"/>
        <v/>
      </c>
      <c r="AF197" s="19" t="str">
        <f t="shared" si="189"/>
        <v/>
      </c>
      <c r="AG197" s="123" t="str">
        <f t="shared" si="190"/>
        <v/>
      </c>
      <c r="AH197" s="123" t="str">
        <f t="shared" si="191"/>
        <v/>
      </c>
      <c r="AI197" s="123" t="str">
        <f t="shared" si="192"/>
        <v/>
      </c>
      <c r="AJ197" s="123" t="str">
        <f t="shared" si="193"/>
        <v/>
      </c>
      <c r="AK197" s="123" t="str">
        <f t="shared" si="194"/>
        <v/>
      </c>
      <c r="AL197" s="123" t="str">
        <f t="shared" si="195"/>
        <v/>
      </c>
      <c r="AM197" s="123" t="str">
        <f t="shared" si="196"/>
        <v/>
      </c>
      <c r="AN197" s="123" t="str">
        <f t="shared" si="197"/>
        <v/>
      </c>
      <c r="AO197" s="123" t="str">
        <f t="shared" si="198"/>
        <v/>
      </c>
      <c r="AP197" s="123" t="str">
        <f t="shared" si="199"/>
        <v/>
      </c>
      <c r="AQ197" s="131" t="str">
        <f t="shared" si="200"/>
        <v/>
      </c>
      <c r="AR197" s="123" t="str">
        <f t="shared" si="201"/>
        <v/>
      </c>
      <c r="AS197" s="1002"/>
      <c r="AT197" s="446"/>
      <c r="AU197" s="132" t="str">
        <f t="shared" si="202"/>
        <v/>
      </c>
      <c r="AV197" s="17"/>
      <c r="AW197" s="125" t="str">
        <f t="shared" si="203"/>
        <v/>
      </c>
      <c r="AX197" s="16"/>
      <c r="AY197" s="26"/>
    </row>
    <row r="198" spans="2:51">
      <c r="B198" s="512"/>
      <c r="C198" s="125"/>
      <c r="D198" s="124" t="str">
        <f t="shared" si="161"/>
        <v/>
      </c>
      <c r="E198" s="124" t="str">
        <f t="shared" si="162"/>
        <v/>
      </c>
      <c r="F198" s="125" t="str">
        <f t="shared" si="163"/>
        <v/>
      </c>
      <c r="G198" s="123" t="str">
        <f t="shared" si="164"/>
        <v/>
      </c>
      <c r="H198" s="123" t="str">
        <f t="shared" si="165"/>
        <v/>
      </c>
      <c r="I198" s="124" t="str">
        <f t="shared" si="166"/>
        <v/>
      </c>
      <c r="J198" s="124" t="str">
        <f t="shared" si="167"/>
        <v/>
      </c>
      <c r="K198" s="125" t="str">
        <f t="shared" si="168"/>
        <v/>
      </c>
      <c r="L198" s="125" t="str">
        <f t="shared" si="169"/>
        <v/>
      </c>
      <c r="M198" s="123" t="str">
        <f t="shared" si="170"/>
        <v/>
      </c>
      <c r="N198" s="123" t="str">
        <f t="shared" si="171"/>
        <v/>
      </c>
      <c r="O198" s="123" t="str">
        <f t="shared" si="172"/>
        <v/>
      </c>
      <c r="P198" s="123" t="str">
        <f t="shared" si="173"/>
        <v/>
      </c>
      <c r="Q198" s="123" t="str">
        <f t="shared" si="174"/>
        <v/>
      </c>
      <c r="R198" s="123" t="str">
        <f t="shared" si="175"/>
        <v/>
      </c>
      <c r="S198" s="123" t="str">
        <f t="shared" si="176"/>
        <v/>
      </c>
      <c r="T198" s="123" t="str">
        <f t="shared" si="177"/>
        <v/>
      </c>
      <c r="U198" s="123" t="str">
        <f t="shared" si="178"/>
        <v/>
      </c>
      <c r="V198" s="123" t="str">
        <f t="shared" si="179"/>
        <v/>
      </c>
      <c r="W198" s="19" t="str">
        <f t="shared" si="180"/>
        <v/>
      </c>
      <c r="X198" s="19" t="str">
        <f t="shared" si="181"/>
        <v/>
      </c>
      <c r="Y198" s="19" t="str">
        <f t="shared" si="182"/>
        <v/>
      </c>
      <c r="Z198" s="19" t="str">
        <f t="shared" si="183"/>
        <v/>
      </c>
      <c r="AA198" s="19" t="str">
        <f t="shared" si="184"/>
        <v/>
      </c>
      <c r="AB198" s="19" t="str">
        <f t="shared" si="185"/>
        <v/>
      </c>
      <c r="AC198" s="19" t="str">
        <f t="shared" si="186"/>
        <v/>
      </c>
      <c r="AD198" s="19" t="str">
        <f t="shared" si="187"/>
        <v/>
      </c>
      <c r="AE198" s="19" t="str">
        <f t="shared" si="188"/>
        <v/>
      </c>
      <c r="AF198" s="19" t="str">
        <f t="shared" si="189"/>
        <v/>
      </c>
      <c r="AG198" s="123" t="str">
        <f t="shared" si="190"/>
        <v/>
      </c>
      <c r="AH198" s="123" t="str">
        <f t="shared" si="191"/>
        <v/>
      </c>
      <c r="AI198" s="123" t="str">
        <f t="shared" si="192"/>
        <v/>
      </c>
      <c r="AJ198" s="123" t="str">
        <f t="shared" si="193"/>
        <v/>
      </c>
      <c r="AK198" s="123" t="str">
        <f t="shared" si="194"/>
        <v/>
      </c>
      <c r="AL198" s="123" t="str">
        <f t="shared" si="195"/>
        <v/>
      </c>
      <c r="AM198" s="123" t="str">
        <f t="shared" si="196"/>
        <v/>
      </c>
      <c r="AN198" s="123" t="str">
        <f t="shared" si="197"/>
        <v/>
      </c>
      <c r="AO198" s="123" t="str">
        <f t="shared" si="198"/>
        <v/>
      </c>
      <c r="AP198" s="123" t="str">
        <f t="shared" si="199"/>
        <v/>
      </c>
      <c r="AQ198" s="131" t="str">
        <f t="shared" si="200"/>
        <v/>
      </c>
      <c r="AR198" s="123" t="str">
        <f t="shared" si="201"/>
        <v/>
      </c>
      <c r="AS198" s="1002"/>
      <c r="AT198" s="446"/>
      <c r="AU198" s="132" t="str">
        <f t="shared" si="202"/>
        <v/>
      </c>
      <c r="AV198" s="17"/>
      <c r="AW198" s="125" t="str">
        <f t="shared" si="203"/>
        <v/>
      </c>
      <c r="AX198" s="16"/>
      <c r="AY198" s="26"/>
    </row>
    <row r="199" spans="2:51">
      <c r="B199" s="512"/>
      <c r="C199" s="125"/>
      <c r="D199" s="124" t="str">
        <f t="shared" si="161"/>
        <v/>
      </c>
      <c r="E199" s="124" t="str">
        <f t="shared" si="162"/>
        <v/>
      </c>
      <c r="F199" s="125" t="str">
        <f t="shared" si="163"/>
        <v/>
      </c>
      <c r="G199" s="123" t="str">
        <f t="shared" si="164"/>
        <v/>
      </c>
      <c r="H199" s="123" t="str">
        <f t="shared" si="165"/>
        <v/>
      </c>
      <c r="I199" s="124" t="str">
        <f t="shared" si="166"/>
        <v/>
      </c>
      <c r="J199" s="124" t="str">
        <f t="shared" si="167"/>
        <v/>
      </c>
      <c r="K199" s="125" t="str">
        <f t="shared" si="168"/>
        <v/>
      </c>
      <c r="L199" s="125" t="str">
        <f t="shared" si="169"/>
        <v/>
      </c>
      <c r="M199" s="123" t="str">
        <f t="shared" si="170"/>
        <v/>
      </c>
      <c r="N199" s="123" t="str">
        <f t="shared" si="171"/>
        <v/>
      </c>
      <c r="O199" s="123" t="str">
        <f t="shared" si="172"/>
        <v/>
      </c>
      <c r="P199" s="123" t="str">
        <f t="shared" si="173"/>
        <v/>
      </c>
      <c r="Q199" s="123" t="str">
        <f t="shared" si="174"/>
        <v/>
      </c>
      <c r="R199" s="123" t="str">
        <f t="shared" si="175"/>
        <v/>
      </c>
      <c r="S199" s="123" t="str">
        <f t="shared" si="176"/>
        <v/>
      </c>
      <c r="T199" s="123" t="str">
        <f t="shared" si="177"/>
        <v/>
      </c>
      <c r="U199" s="123" t="str">
        <f t="shared" si="178"/>
        <v/>
      </c>
      <c r="V199" s="123" t="str">
        <f t="shared" si="179"/>
        <v/>
      </c>
      <c r="W199" s="19" t="str">
        <f t="shared" si="180"/>
        <v/>
      </c>
      <c r="X199" s="19" t="str">
        <f t="shared" si="181"/>
        <v/>
      </c>
      <c r="Y199" s="19" t="str">
        <f t="shared" si="182"/>
        <v/>
      </c>
      <c r="Z199" s="19" t="str">
        <f t="shared" si="183"/>
        <v/>
      </c>
      <c r="AA199" s="19" t="str">
        <f t="shared" si="184"/>
        <v/>
      </c>
      <c r="AB199" s="19" t="str">
        <f t="shared" si="185"/>
        <v/>
      </c>
      <c r="AC199" s="19" t="str">
        <f t="shared" si="186"/>
        <v/>
      </c>
      <c r="AD199" s="19" t="str">
        <f t="shared" si="187"/>
        <v/>
      </c>
      <c r="AE199" s="19" t="str">
        <f t="shared" si="188"/>
        <v/>
      </c>
      <c r="AF199" s="19" t="str">
        <f t="shared" si="189"/>
        <v/>
      </c>
      <c r="AG199" s="123" t="str">
        <f t="shared" si="190"/>
        <v/>
      </c>
      <c r="AH199" s="123" t="str">
        <f t="shared" si="191"/>
        <v/>
      </c>
      <c r="AI199" s="123" t="str">
        <f t="shared" si="192"/>
        <v/>
      </c>
      <c r="AJ199" s="123" t="str">
        <f t="shared" si="193"/>
        <v/>
      </c>
      <c r="AK199" s="123" t="str">
        <f t="shared" si="194"/>
        <v/>
      </c>
      <c r="AL199" s="123" t="str">
        <f t="shared" si="195"/>
        <v/>
      </c>
      <c r="AM199" s="123" t="str">
        <f t="shared" si="196"/>
        <v/>
      </c>
      <c r="AN199" s="123" t="str">
        <f t="shared" si="197"/>
        <v/>
      </c>
      <c r="AO199" s="123" t="str">
        <f t="shared" si="198"/>
        <v/>
      </c>
      <c r="AP199" s="123" t="str">
        <f t="shared" si="199"/>
        <v/>
      </c>
      <c r="AQ199" s="131" t="str">
        <f t="shared" si="200"/>
        <v/>
      </c>
      <c r="AR199" s="123" t="str">
        <f t="shared" si="201"/>
        <v/>
      </c>
      <c r="AS199" s="1002"/>
      <c r="AT199" s="446"/>
      <c r="AU199" s="132" t="str">
        <f t="shared" si="202"/>
        <v/>
      </c>
      <c r="AV199" s="17"/>
      <c r="AW199" s="125" t="str">
        <f t="shared" si="203"/>
        <v/>
      </c>
      <c r="AX199" s="16"/>
      <c r="AY199" s="26"/>
    </row>
    <row r="200" spans="2:51">
      <c r="B200" s="512"/>
      <c r="C200" s="125"/>
      <c r="D200" s="124" t="str">
        <f t="shared" si="161"/>
        <v/>
      </c>
      <c r="E200" s="124" t="str">
        <f t="shared" si="162"/>
        <v/>
      </c>
      <c r="F200" s="125" t="str">
        <f t="shared" si="163"/>
        <v/>
      </c>
      <c r="G200" s="123" t="str">
        <f t="shared" si="164"/>
        <v/>
      </c>
      <c r="H200" s="123" t="str">
        <f t="shared" si="165"/>
        <v/>
      </c>
      <c r="I200" s="124" t="str">
        <f t="shared" si="166"/>
        <v/>
      </c>
      <c r="J200" s="124" t="str">
        <f t="shared" si="167"/>
        <v/>
      </c>
      <c r="K200" s="125" t="str">
        <f t="shared" si="168"/>
        <v/>
      </c>
      <c r="L200" s="125" t="str">
        <f t="shared" si="169"/>
        <v/>
      </c>
      <c r="M200" s="123" t="str">
        <f t="shared" si="170"/>
        <v/>
      </c>
      <c r="N200" s="123" t="str">
        <f t="shared" si="171"/>
        <v/>
      </c>
      <c r="O200" s="123" t="str">
        <f t="shared" si="172"/>
        <v/>
      </c>
      <c r="P200" s="123" t="str">
        <f t="shared" si="173"/>
        <v/>
      </c>
      <c r="Q200" s="123" t="str">
        <f t="shared" si="174"/>
        <v/>
      </c>
      <c r="R200" s="123" t="str">
        <f t="shared" si="175"/>
        <v/>
      </c>
      <c r="S200" s="123" t="str">
        <f t="shared" si="176"/>
        <v/>
      </c>
      <c r="T200" s="123" t="str">
        <f t="shared" si="177"/>
        <v/>
      </c>
      <c r="U200" s="123" t="str">
        <f t="shared" si="178"/>
        <v/>
      </c>
      <c r="V200" s="123" t="str">
        <f t="shared" si="179"/>
        <v/>
      </c>
      <c r="W200" s="19" t="str">
        <f t="shared" si="180"/>
        <v/>
      </c>
      <c r="X200" s="19" t="str">
        <f t="shared" si="181"/>
        <v/>
      </c>
      <c r="Y200" s="19" t="str">
        <f t="shared" si="182"/>
        <v/>
      </c>
      <c r="Z200" s="19" t="str">
        <f t="shared" si="183"/>
        <v/>
      </c>
      <c r="AA200" s="19" t="str">
        <f t="shared" si="184"/>
        <v/>
      </c>
      <c r="AB200" s="19" t="str">
        <f t="shared" si="185"/>
        <v/>
      </c>
      <c r="AC200" s="19" t="str">
        <f t="shared" si="186"/>
        <v/>
      </c>
      <c r="AD200" s="19" t="str">
        <f t="shared" si="187"/>
        <v/>
      </c>
      <c r="AE200" s="19" t="str">
        <f t="shared" si="188"/>
        <v/>
      </c>
      <c r="AF200" s="19" t="str">
        <f t="shared" si="189"/>
        <v/>
      </c>
      <c r="AG200" s="123" t="str">
        <f t="shared" si="190"/>
        <v/>
      </c>
      <c r="AH200" s="123" t="str">
        <f t="shared" si="191"/>
        <v/>
      </c>
      <c r="AI200" s="123" t="str">
        <f t="shared" si="192"/>
        <v/>
      </c>
      <c r="AJ200" s="123" t="str">
        <f t="shared" si="193"/>
        <v/>
      </c>
      <c r="AK200" s="123" t="str">
        <f t="shared" si="194"/>
        <v/>
      </c>
      <c r="AL200" s="123" t="str">
        <f t="shared" si="195"/>
        <v/>
      </c>
      <c r="AM200" s="123" t="str">
        <f t="shared" si="196"/>
        <v/>
      </c>
      <c r="AN200" s="123" t="str">
        <f t="shared" si="197"/>
        <v/>
      </c>
      <c r="AO200" s="123" t="str">
        <f t="shared" si="198"/>
        <v/>
      </c>
      <c r="AP200" s="123" t="str">
        <f t="shared" si="199"/>
        <v/>
      </c>
      <c r="AQ200" s="131" t="str">
        <f t="shared" si="200"/>
        <v/>
      </c>
      <c r="AR200" s="123" t="str">
        <f t="shared" si="201"/>
        <v/>
      </c>
      <c r="AS200" s="1002"/>
      <c r="AT200" s="446"/>
      <c r="AU200" s="132" t="str">
        <f t="shared" si="202"/>
        <v/>
      </c>
      <c r="AV200" s="17"/>
      <c r="AW200" s="125" t="str">
        <f t="shared" si="203"/>
        <v/>
      </c>
      <c r="AX200" s="16"/>
      <c r="AY200" s="26"/>
    </row>
    <row r="201" spans="2:51">
      <c r="B201" s="512"/>
      <c r="C201" s="125"/>
      <c r="D201" s="124" t="str">
        <f t="shared" si="161"/>
        <v/>
      </c>
      <c r="E201" s="124" t="str">
        <f t="shared" si="162"/>
        <v/>
      </c>
      <c r="F201" s="125" t="str">
        <f t="shared" si="163"/>
        <v/>
      </c>
      <c r="G201" s="123" t="str">
        <f t="shared" si="164"/>
        <v/>
      </c>
      <c r="H201" s="123" t="str">
        <f t="shared" si="165"/>
        <v/>
      </c>
      <c r="I201" s="124" t="str">
        <f t="shared" si="166"/>
        <v/>
      </c>
      <c r="J201" s="124" t="str">
        <f t="shared" si="167"/>
        <v/>
      </c>
      <c r="K201" s="125" t="str">
        <f t="shared" si="168"/>
        <v/>
      </c>
      <c r="L201" s="125" t="str">
        <f t="shared" si="169"/>
        <v/>
      </c>
      <c r="M201" s="123" t="str">
        <f t="shared" si="170"/>
        <v/>
      </c>
      <c r="N201" s="123" t="str">
        <f t="shared" si="171"/>
        <v/>
      </c>
      <c r="O201" s="123" t="str">
        <f t="shared" si="172"/>
        <v/>
      </c>
      <c r="P201" s="123" t="str">
        <f t="shared" si="173"/>
        <v/>
      </c>
      <c r="Q201" s="123" t="str">
        <f t="shared" si="174"/>
        <v/>
      </c>
      <c r="R201" s="123" t="str">
        <f t="shared" si="175"/>
        <v/>
      </c>
      <c r="S201" s="123" t="str">
        <f t="shared" si="176"/>
        <v/>
      </c>
      <c r="T201" s="123" t="str">
        <f t="shared" si="177"/>
        <v/>
      </c>
      <c r="U201" s="123" t="str">
        <f t="shared" si="178"/>
        <v/>
      </c>
      <c r="V201" s="123" t="str">
        <f t="shared" si="179"/>
        <v/>
      </c>
      <c r="W201" s="19" t="str">
        <f t="shared" si="180"/>
        <v/>
      </c>
      <c r="X201" s="19" t="str">
        <f t="shared" si="181"/>
        <v/>
      </c>
      <c r="Y201" s="19" t="str">
        <f t="shared" si="182"/>
        <v/>
      </c>
      <c r="Z201" s="19" t="str">
        <f t="shared" si="183"/>
        <v/>
      </c>
      <c r="AA201" s="19" t="str">
        <f t="shared" si="184"/>
        <v/>
      </c>
      <c r="AB201" s="19" t="str">
        <f t="shared" si="185"/>
        <v/>
      </c>
      <c r="AC201" s="19" t="str">
        <f t="shared" si="186"/>
        <v/>
      </c>
      <c r="AD201" s="19" t="str">
        <f t="shared" si="187"/>
        <v/>
      </c>
      <c r="AE201" s="19" t="str">
        <f t="shared" si="188"/>
        <v/>
      </c>
      <c r="AF201" s="19" t="str">
        <f t="shared" si="189"/>
        <v/>
      </c>
      <c r="AG201" s="123" t="str">
        <f t="shared" si="190"/>
        <v/>
      </c>
      <c r="AH201" s="123" t="str">
        <f t="shared" si="191"/>
        <v/>
      </c>
      <c r="AI201" s="123" t="str">
        <f t="shared" si="192"/>
        <v/>
      </c>
      <c r="AJ201" s="123" t="str">
        <f t="shared" si="193"/>
        <v/>
      </c>
      <c r="AK201" s="123" t="str">
        <f t="shared" si="194"/>
        <v/>
      </c>
      <c r="AL201" s="123" t="str">
        <f t="shared" si="195"/>
        <v/>
      </c>
      <c r="AM201" s="123" t="str">
        <f t="shared" si="196"/>
        <v/>
      </c>
      <c r="AN201" s="123" t="str">
        <f t="shared" si="197"/>
        <v/>
      </c>
      <c r="AO201" s="123" t="str">
        <f t="shared" si="198"/>
        <v/>
      </c>
      <c r="AP201" s="123" t="str">
        <f t="shared" si="199"/>
        <v/>
      </c>
      <c r="AQ201" s="131" t="str">
        <f t="shared" si="200"/>
        <v/>
      </c>
      <c r="AR201" s="123" t="str">
        <f t="shared" si="201"/>
        <v/>
      </c>
      <c r="AS201" s="1002"/>
      <c r="AT201" s="446"/>
      <c r="AU201" s="132" t="str">
        <f t="shared" si="202"/>
        <v/>
      </c>
      <c r="AV201" s="17"/>
      <c r="AW201" s="125" t="str">
        <f t="shared" si="203"/>
        <v/>
      </c>
      <c r="AX201" s="16"/>
      <c r="AY201" s="26"/>
    </row>
    <row r="202" spans="2:51">
      <c r="C202" s="125"/>
      <c r="D202" s="124"/>
      <c r="E202" s="124"/>
      <c r="F202" s="125"/>
      <c r="G202" s="123"/>
      <c r="H202" s="123"/>
      <c r="I202" s="124"/>
      <c r="J202" s="124"/>
      <c r="K202" s="125"/>
      <c r="L202" s="125"/>
      <c r="M202" s="123"/>
      <c r="N202" s="123"/>
      <c r="O202" s="123"/>
      <c r="P202" s="123"/>
      <c r="Q202" s="123"/>
      <c r="R202" s="123"/>
      <c r="S202" s="123"/>
      <c r="T202" s="123"/>
      <c r="U202" s="123"/>
      <c r="V202" s="123"/>
      <c r="W202" s="19"/>
      <c r="X202" s="19"/>
      <c r="Y202" s="19"/>
      <c r="Z202" s="19"/>
      <c r="AA202" s="19"/>
      <c r="AB202" s="19"/>
      <c r="AC202" s="19"/>
      <c r="AD202" s="19"/>
      <c r="AE202" s="19"/>
      <c r="AF202" s="19"/>
      <c r="AG202" s="123"/>
      <c r="AH202" s="123"/>
      <c r="AI202" s="123"/>
      <c r="AJ202" s="123"/>
      <c r="AK202" s="123"/>
      <c r="AL202" s="123"/>
      <c r="AM202" s="123"/>
      <c r="AN202" s="123"/>
      <c r="AO202" s="123"/>
      <c r="AP202" s="123"/>
      <c r="AQ202" s="131"/>
      <c r="AR202" s="123"/>
      <c r="AS202" s="1002"/>
      <c r="AT202" s="446"/>
      <c r="AU202" s="132"/>
      <c r="AV202" s="17"/>
      <c r="AW202" s="125"/>
      <c r="AX202" s="16"/>
      <c r="AY202" s="26"/>
    </row>
  </sheetData>
  <protectedRanges>
    <protectedRange sqref="Y11" name="Intervalo4_3"/>
  </protectedRanges>
  <phoneticPr fontId="0" type="noConversion"/>
  <conditionalFormatting sqref="G41:G162">
    <cfRule type="cellIs" dxfId="1" priority="4" operator="equal">
      <formula>0</formula>
    </cfRule>
  </conditionalFormatting>
  <conditionalFormatting sqref="AW41:AW162">
    <cfRule type="colorScale" priority="3">
      <colorScale>
        <cfvo type="percentile" val="1"/>
        <cfvo type="num" val="0"/>
        <cfvo type="percentile" val="99"/>
        <color theme="5" tint="0.39997558519241921"/>
        <color rgb="FFF9FCDE"/>
        <color theme="5" tint="0.39997558519241921"/>
      </colorScale>
    </cfRule>
  </conditionalFormatting>
  <conditionalFormatting sqref="G163:G202">
    <cfRule type="cellIs" dxfId="0" priority="2" operator="equal">
      <formula>0</formula>
    </cfRule>
  </conditionalFormatting>
  <conditionalFormatting sqref="AW163:AW202">
    <cfRule type="colorScale" priority="1">
      <colorScale>
        <cfvo type="percentile" val="1"/>
        <cfvo type="num" val="0"/>
        <cfvo type="percentile" val="99"/>
        <color theme="5" tint="0.39997558519241921"/>
        <color rgb="FFF9FCDE"/>
        <color theme="5" tint="0.39997558519241921"/>
      </colorScale>
    </cfRule>
  </conditionalFormatting>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Plan4"/>
  <dimension ref="A1:AP311"/>
  <sheetViews>
    <sheetView zoomScale="85" zoomScaleNormal="85" workbookViewId="0">
      <selection activeCell="AP9" sqref="AP9"/>
    </sheetView>
  </sheetViews>
  <sheetFormatPr defaultRowHeight="12.75"/>
  <cols>
    <col min="1" max="1" width="11" customWidth="1"/>
    <col min="2" max="2" width="15.28515625" bestFit="1" customWidth="1"/>
    <col min="3" max="3" width="9.7109375" customWidth="1"/>
    <col min="4" max="4" width="13.42578125" customWidth="1"/>
    <col min="5" max="5" width="8" customWidth="1"/>
    <col min="6" max="6" width="15.140625" bestFit="1" customWidth="1"/>
    <col min="7" max="7" width="9.7109375" customWidth="1"/>
    <col min="18" max="19" width="9.42578125" bestFit="1" customWidth="1"/>
    <col min="20" max="21" width="9.28515625" bestFit="1" customWidth="1"/>
  </cols>
  <sheetData>
    <row r="1" spans="1:42" ht="24" customHeight="1">
      <c r="A1" s="364"/>
      <c r="B1" s="364"/>
      <c r="C1" s="364" t="s">
        <v>12</v>
      </c>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L1" s="364"/>
      <c r="AM1" s="364"/>
      <c r="AN1" s="364"/>
      <c r="AO1" s="364"/>
      <c r="AP1" s="364"/>
    </row>
    <row r="2" spans="1:42" ht="18" customHeight="1">
      <c r="A2" s="276" t="s">
        <v>5</v>
      </c>
      <c r="B2" s="277"/>
      <c r="C2" s="277"/>
      <c r="D2" s="277"/>
      <c r="E2" s="278"/>
      <c r="F2" s="277"/>
      <c r="G2" s="277"/>
      <c r="H2" s="157"/>
      <c r="I2" s="157"/>
      <c r="J2" s="157"/>
      <c r="K2" s="157"/>
      <c r="L2" s="157"/>
      <c r="M2" s="157"/>
      <c r="N2" s="157"/>
      <c r="O2" s="157"/>
      <c r="P2" s="169"/>
      <c r="Q2" s="26"/>
      <c r="R2" s="26"/>
      <c r="S2" s="26"/>
      <c r="T2" s="26"/>
      <c r="U2" s="26"/>
      <c r="V2" s="26"/>
      <c r="W2" s="26"/>
      <c r="X2" s="26"/>
      <c r="Y2" s="26"/>
      <c r="Z2" s="26"/>
      <c r="AA2" s="26"/>
      <c r="AB2" s="26"/>
      <c r="AC2" s="26"/>
      <c r="AD2" s="26"/>
      <c r="AE2" s="26"/>
      <c r="AF2" s="26"/>
      <c r="AG2" s="26"/>
      <c r="AH2" s="26"/>
      <c r="AI2" s="26"/>
      <c r="AJ2" s="26"/>
      <c r="AK2" s="26"/>
      <c r="AL2" s="26"/>
      <c r="AM2" s="26"/>
      <c r="AN2" s="26"/>
      <c r="AO2" s="26"/>
      <c r="AP2" s="26"/>
    </row>
    <row r="3" spans="1:42" s="8" customFormat="1" ht="18" customHeight="1">
      <c r="A3" s="170" t="b">
        <v>1</v>
      </c>
      <c r="B3" s="171" t="b">
        <v>0</v>
      </c>
      <c r="C3" s="1116" t="str">
        <f>IF(Simulation!B41="","No Data","")</f>
        <v/>
      </c>
      <c r="D3" s="172" t="b">
        <v>0</v>
      </c>
      <c r="E3" s="172"/>
      <c r="F3" s="172" t="b">
        <v>0</v>
      </c>
      <c r="G3" s="1116" t="str">
        <f>IF(Simulation!D41="","No Data","")</f>
        <v>No Data</v>
      </c>
      <c r="H3" s="157"/>
      <c r="I3" s="173" t="s">
        <v>756</v>
      </c>
      <c r="J3" s="157"/>
      <c r="K3" s="157"/>
      <c r="L3" s="157"/>
      <c r="M3" s="157"/>
      <c r="N3" s="157"/>
      <c r="O3" s="157"/>
      <c r="P3" s="169"/>
      <c r="Q3" s="26"/>
      <c r="R3" s="26"/>
      <c r="S3" s="26"/>
      <c r="T3" s="26"/>
      <c r="U3" s="26"/>
      <c r="V3" s="26"/>
      <c r="W3" s="26"/>
      <c r="X3" s="26"/>
      <c r="Y3" s="26"/>
      <c r="Z3" s="26"/>
      <c r="AA3" s="26"/>
      <c r="AB3" s="26"/>
      <c r="AC3" s="26"/>
      <c r="AD3" s="26"/>
      <c r="AE3" s="26"/>
      <c r="AF3" s="26"/>
      <c r="AG3" s="26"/>
      <c r="AH3" s="26"/>
      <c r="AI3" s="26"/>
      <c r="AJ3" s="26"/>
      <c r="AK3" s="26"/>
      <c r="AL3" s="26"/>
      <c r="AM3" s="26"/>
      <c r="AN3" s="26"/>
      <c r="AO3" s="26"/>
      <c r="AP3" s="26"/>
    </row>
    <row r="4" spans="1:42" s="8" customFormat="1" ht="18" customHeight="1">
      <c r="A4" s="174" t="b">
        <v>1</v>
      </c>
      <c r="B4" s="171" t="b">
        <v>0</v>
      </c>
      <c r="C4" s="1116" t="str">
        <f>IF(Evaluation!B41="","No Data","")</f>
        <v/>
      </c>
      <c r="D4" s="172" t="b">
        <v>0</v>
      </c>
      <c r="E4" s="172"/>
      <c r="F4" s="172" t="b">
        <v>1</v>
      </c>
      <c r="G4" s="1116" t="str">
        <f>IF(Evaluation!C41="","No Data","")</f>
        <v/>
      </c>
      <c r="H4" s="157"/>
      <c r="I4" s="157" t="s">
        <v>2</v>
      </c>
      <c r="J4" s="157"/>
      <c r="K4" s="157"/>
      <c r="L4" s="157"/>
      <c r="M4" s="157"/>
      <c r="N4" s="157" t="s">
        <v>3</v>
      </c>
      <c r="O4" s="157"/>
      <c r="P4" s="169"/>
      <c r="Q4" s="26"/>
      <c r="R4" s="26"/>
      <c r="S4" s="26"/>
      <c r="T4" s="26"/>
      <c r="U4" s="26"/>
      <c r="V4" s="26"/>
      <c r="W4" s="26"/>
      <c r="X4" s="26"/>
      <c r="Y4" s="26"/>
      <c r="Z4" s="26"/>
      <c r="AA4" s="26"/>
      <c r="AB4" s="26"/>
      <c r="AC4" s="26"/>
      <c r="AD4" s="26"/>
      <c r="AE4" s="26"/>
      <c r="AF4" s="26"/>
      <c r="AG4" s="26"/>
      <c r="AH4" s="26"/>
      <c r="AI4" s="26"/>
      <c r="AJ4" s="26"/>
      <c r="AK4" s="26"/>
      <c r="AL4" s="26"/>
      <c r="AM4" s="26"/>
      <c r="AN4" s="26"/>
      <c r="AO4" s="26"/>
      <c r="AP4" s="26"/>
    </row>
    <row r="5" spans="1:42" s="8" customFormat="1" ht="18" customHeight="1">
      <c r="A5" s="174" t="b">
        <v>1</v>
      </c>
      <c r="B5" s="171" t="b">
        <v>0</v>
      </c>
      <c r="C5" s="1116" t="str">
        <f>IF(Regression!B41="","No Data","")</f>
        <v/>
      </c>
      <c r="D5" s="172" t="b">
        <v>0</v>
      </c>
      <c r="E5" s="172"/>
      <c r="F5" s="172" t="b">
        <v>0</v>
      </c>
      <c r="G5" s="1116" t="str">
        <f>IF(Regression!C41="","No Data","")</f>
        <v/>
      </c>
      <c r="H5" s="157"/>
      <c r="I5" s="157" t="s">
        <v>4</v>
      </c>
      <c r="J5" s="157"/>
      <c r="K5" s="157"/>
      <c r="L5" s="157"/>
      <c r="M5" s="157"/>
      <c r="N5" s="157"/>
      <c r="O5" s="157"/>
      <c r="P5" s="169"/>
      <c r="Q5" s="26"/>
      <c r="R5" s="26"/>
      <c r="S5" s="26"/>
      <c r="T5" s="26"/>
      <c r="U5" s="26"/>
      <c r="V5" s="26"/>
      <c r="W5" s="26"/>
      <c r="X5" s="26"/>
      <c r="Y5" s="26"/>
      <c r="Z5" s="26"/>
      <c r="AA5" s="26"/>
      <c r="AB5" s="26"/>
      <c r="AC5" s="26"/>
      <c r="AD5" s="26"/>
      <c r="AE5" s="26"/>
      <c r="AF5" s="26"/>
      <c r="AG5" s="26"/>
      <c r="AH5" s="26"/>
      <c r="AI5" s="26"/>
      <c r="AJ5" s="26"/>
      <c r="AK5" s="26"/>
      <c r="AL5" s="26"/>
      <c r="AM5" s="26"/>
      <c r="AN5" s="26"/>
      <c r="AO5" s="26"/>
      <c r="AP5" s="26"/>
    </row>
    <row r="6" spans="1:42" s="8" customFormat="1" ht="13.5" customHeight="1" thickBot="1">
      <c r="A6" s="175"/>
      <c r="B6" s="176"/>
      <c r="C6" s="176"/>
      <c r="D6" s="176"/>
      <c r="E6" s="176"/>
      <c r="F6" s="176"/>
      <c r="G6" s="176"/>
      <c r="H6" s="177"/>
      <c r="I6" s="177"/>
      <c r="J6" s="177"/>
      <c r="K6" s="177"/>
      <c r="L6" s="177"/>
      <c r="M6" s="177"/>
      <c r="N6" s="177"/>
      <c r="O6" s="177"/>
      <c r="P6" s="178"/>
      <c r="Q6" s="26"/>
      <c r="R6" s="26"/>
      <c r="S6" s="26"/>
      <c r="T6" s="26"/>
      <c r="U6" s="26"/>
      <c r="V6" s="26"/>
      <c r="W6" s="26"/>
      <c r="X6" s="26"/>
      <c r="Y6" s="26"/>
      <c r="Z6" s="26"/>
      <c r="AA6" s="26"/>
      <c r="AB6" s="26"/>
      <c r="AC6" s="26"/>
      <c r="AD6" s="26"/>
      <c r="AE6" s="26"/>
      <c r="AF6" s="26"/>
      <c r="AG6" s="26"/>
      <c r="AH6" s="26"/>
      <c r="AI6" s="26"/>
      <c r="AJ6" s="26"/>
      <c r="AK6" s="26"/>
      <c r="AL6" s="26"/>
      <c r="AM6" s="26"/>
      <c r="AN6" s="26"/>
      <c r="AO6" s="26"/>
      <c r="AP6" s="26"/>
    </row>
    <row r="7" spans="1:42" s="8" customFormat="1" ht="13.5" thickTop="1">
      <c r="A7" s="26"/>
      <c r="B7" s="26"/>
      <c r="C7" s="26"/>
      <c r="D7" s="26"/>
      <c r="E7" s="26"/>
      <c r="F7" s="26"/>
      <c r="G7" s="26"/>
      <c r="H7" s="157"/>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row>
    <row r="8" spans="1:42">
      <c r="A8" s="26"/>
      <c r="B8" s="26"/>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row>
    <row r="9" spans="1:42">
      <c r="A9" s="26"/>
      <c r="B9" s="26"/>
      <c r="C9" s="26"/>
      <c r="D9" s="26"/>
      <c r="E9" s="26"/>
      <c r="F9" s="26"/>
      <c r="G9" s="26"/>
      <c r="H9" s="26"/>
      <c r="I9" s="26"/>
      <c r="J9" s="26"/>
      <c r="K9" s="26"/>
      <c r="L9" s="26"/>
      <c r="M9" s="26"/>
      <c r="N9" s="26"/>
      <c r="O9" s="26"/>
      <c r="P9" s="26"/>
      <c r="Q9" s="26"/>
      <c r="R9" s="360"/>
      <c r="S9" s="159" t="s">
        <v>6</v>
      </c>
      <c r="T9" s="159"/>
      <c r="U9" s="159"/>
      <c r="V9" s="159" t="s">
        <v>7</v>
      </c>
      <c r="W9" s="159"/>
      <c r="X9" s="159"/>
      <c r="Y9" s="159"/>
      <c r="Z9" s="159"/>
      <c r="AA9" s="159" t="s">
        <v>8</v>
      </c>
      <c r="AB9" s="159"/>
      <c r="AC9" s="159"/>
      <c r="AD9" s="361" t="s">
        <v>9</v>
      </c>
      <c r="AE9" s="159"/>
      <c r="AF9" s="159"/>
      <c r="AG9" s="159"/>
      <c r="AH9" s="159"/>
      <c r="AI9" s="159" t="s">
        <v>10</v>
      </c>
      <c r="AJ9" s="159"/>
      <c r="AK9" s="159"/>
      <c r="AL9" s="159"/>
      <c r="AM9" s="159" t="s">
        <v>11</v>
      </c>
      <c r="AN9" s="159"/>
      <c r="AO9" s="361"/>
      <c r="AP9" s="26"/>
    </row>
    <row r="10" spans="1:42">
      <c r="A10" s="26"/>
      <c r="B10" s="26"/>
      <c r="C10" s="26"/>
      <c r="D10" s="26"/>
      <c r="E10" s="26"/>
      <c r="F10" s="26"/>
      <c r="G10" s="26"/>
      <c r="H10" s="26"/>
      <c r="I10" s="26"/>
      <c r="J10" s="26"/>
      <c r="K10" s="26"/>
      <c r="L10" s="26"/>
      <c r="M10" s="26"/>
      <c r="N10" s="26"/>
      <c r="O10" s="26"/>
      <c r="P10" s="26"/>
      <c r="Q10" s="26"/>
      <c r="R10" s="362" t="s">
        <v>439</v>
      </c>
      <c r="S10" s="20" t="s">
        <v>331</v>
      </c>
      <c r="T10" s="20" t="s">
        <v>439</v>
      </c>
      <c r="U10" s="20" t="s">
        <v>305</v>
      </c>
      <c r="V10" s="362" t="s">
        <v>439</v>
      </c>
      <c r="W10" s="20" t="s">
        <v>331</v>
      </c>
      <c r="X10" s="20" t="s">
        <v>439</v>
      </c>
      <c r="Y10" s="20" t="s">
        <v>305</v>
      </c>
      <c r="Z10" s="362" t="s">
        <v>439</v>
      </c>
      <c r="AA10" s="20" t="s">
        <v>331</v>
      </c>
      <c r="AB10" s="20" t="s">
        <v>439</v>
      </c>
      <c r="AC10" s="20" t="s">
        <v>305</v>
      </c>
      <c r="AD10" s="362" t="s">
        <v>439</v>
      </c>
      <c r="AE10" s="20" t="s">
        <v>331</v>
      </c>
      <c r="AF10" s="20" t="s">
        <v>439</v>
      </c>
      <c r="AG10" s="20" t="s">
        <v>305</v>
      </c>
      <c r="AH10" s="362" t="s">
        <v>439</v>
      </c>
      <c r="AI10" s="20" t="s">
        <v>331</v>
      </c>
      <c r="AJ10" s="20" t="s">
        <v>439</v>
      </c>
      <c r="AK10" s="20" t="s">
        <v>305</v>
      </c>
      <c r="AL10" s="362" t="s">
        <v>439</v>
      </c>
      <c r="AM10" s="20" t="s">
        <v>331</v>
      </c>
      <c r="AN10" s="20" t="s">
        <v>439</v>
      </c>
      <c r="AO10" s="363" t="s">
        <v>305</v>
      </c>
      <c r="AP10" s="26"/>
    </row>
    <row r="11" spans="1:42">
      <c r="A11" s="26"/>
      <c r="B11" s="26"/>
      <c r="C11" s="26"/>
      <c r="D11" s="26"/>
      <c r="E11" s="26"/>
      <c r="F11" s="26"/>
      <c r="G11" s="26"/>
      <c r="H11" s="26"/>
      <c r="I11" s="26"/>
      <c r="J11" s="26"/>
      <c r="K11" s="26"/>
      <c r="L11" s="26"/>
      <c r="M11" s="26"/>
      <c r="N11" s="26"/>
      <c r="O11" s="26"/>
      <c r="P11" s="26"/>
      <c r="Q11" s="26"/>
      <c r="R11" s="17">
        <v>0</v>
      </c>
      <c r="S11" s="17">
        <v>1.8059327094815671</v>
      </c>
      <c r="T11" s="17"/>
      <c r="U11" s="17"/>
      <c r="V11" s="17"/>
      <c r="W11" s="17"/>
      <c r="X11" s="17"/>
      <c r="Y11" s="17"/>
      <c r="Z11" s="17">
        <v>0</v>
      </c>
      <c r="AA11" s="17">
        <v>2.2653477877937256</v>
      </c>
      <c r="AB11" s="17"/>
      <c r="AC11" s="17"/>
      <c r="AD11" s="17"/>
      <c r="AE11" s="17"/>
      <c r="AF11" s="17"/>
      <c r="AG11" s="17"/>
      <c r="AH11" s="17">
        <v>0</v>
      </c>
      <c r="AI11" s="17">
        <v>2.2808282657451926</v>
      </c>
      <c r="AJ11" s="17"/>
      <c r="AK11" s="17"/>
      <c r="AL11" s="17"/>
      <c r="AM11" s="17"/>
      <c r="AN11" s="17"/>
      <c r="AO11" s="17"/>
      <c r="AP11" s="26"/>
    </row>
    <row r="12" spans="1:42">
      <c r="A12" s="26"/>
      <c r="B12" s="26"/>
      <c r="C12" s="26"/>
      <c r="D12" s="26"/>
      <c r="E12" s="26"/>
      <c r="F12" s="26"/>
      <c r="G12" s="26"/>
      <c r="H12" s="26"/>
      <c r="I12" s="26"/>
      <c r="J12" s="26"/>
      <c r="K12" s="26"/>
      <c r="L12" s="26"/>
      <c r="M12" s="26"/>
      <c r="N12" s="26"/>
      <c r="O12" s="26"/>
      <c r="P12" s="26"/>
      <c r="Q12" s="26"/>
      <c r="R12" s="17">
        <v>2.1570917087956332</v>
      </c>
      <c r="S12" s="17">
        <v>2.0204353218153117</v>
      </c>
      <c r="T12" s="17"/>
      <c r="U12" s="17"/>
      <c r="V12" s="17"/>
      <c r="W12" s="17"/>
      <c r="X12" s="17"/>
      <c r="Y12" s="17"/>
      <c r="Z12" s="17">
        <v>2.498869968985673</v>
      </c>
      <c r="AA12" s="17">
        <v>2.3861369323544204</v>
      </c>
      <c r="AB12" s="17"/>
      <c r="AC12" s="17"/>
      <c r="AD12" s="17"/>
      <c r="AE12" s="17"/>
      <c r="AF12" s="17">
        <v>8.3333333330908019E-2</v>
      </c>
      <c r="AG12" s="17">
        <v>4.4451495312456034E-2</v>
      </c>
      <c r="AH12" s="17">
        <v>0.89688894076971337</v>
      </c>
      <c r="AI12" s="17">
        <v>2.4714166043065489</v>
      </c>
      <c r="AJ12" s="17"/>
      <c r="AK12" s="17"/>
      <c r="AL12" s="17"/>
      <c r="AM12" s="17"/>
      <c r="AN12" s="17"/>
      <c r="AO12" s="17"/>
      <c r="AP12" s="26"/>
    </row>
    <row r="13" spans="1:42">
      <c r="A13" s="26"/>
      <c r="B13" s="26"/>
      <c r="C13" s="26"/>
      <c r="D13" s="26"/>
      <c r="E13" s="26"/>
      <c r="F13" s="26"/>
      <c r="G13" s="26"/>
      <c r="H13" s="26"/>
      <c r="I13" s="26"/>
      <c r="J13" s="26"/>
      <c r="K13" s="26"/>
      <c r="L13" s="26"/>
      <c r="M13" s="26"/>
      <c r="N13" s="26"/>
      <c r="O13" s="26"/>
      <c r="P13" s="26"/>
      <c r="Q13" s="26"/>
      <c r="R13" s="17">
        <v>4.0960384285426699</v>
      </c>
      <c r="S13" s="17">
        <v>2.2349379341490567</v>
      </c>
      <c r="T13" s="17"/>
      <c r="U13" s="17"/>
      <c r="V13" s="17"/>
      <c r="W13" s="17"/>
      <c r="X13" s="17"/>
      <c r="Y13" s="17"/>
      <c r="Z13" s="17">
        <v>4.6176066432963125</v>
      </c>
      <c r="AA13" s="17">
        <v>2.6641118475981056</v>
      </c>
      <c r="AB13" s="17"/>
      <c r="AC13" s="17"/>
      <c r="AD13" s="17"/>
      <c r="AE13" s="17"/>
      <c r="AF13" s="17">
        <v>0.24999999999272404</v>
      </c>
      <c r="AG13" s="17">
        <v>4.4830058399049293E-2</v>
      </c>
      <c r="AH13" s="17">
        <v>1.8641394926817156</v>
      </c>
      <c r="AI13" s="17">
        <v>2.662466105993837</v>
      </c>
      <c r="AJ13" s="17"/>
      <c r="AK13" s="17"/>
      <c r="AL13" s="17"/>
      <c r="AM13" s="17"/>
      <c r="AN13" s="17"/>
      <c r="AO13" s="17"/>
      <c r="AP13" s="26"/>
    </row>
    <row r="14" spans="1:42">
      <c r="A14" s="26"/>
      <c r="B14" s="26"/>
      <c r="C14" s="26"/>
      <c r="D14" s="26"/>
      <c r="E14" s="26"/>
      <c r="F14" s="26"/>
      <c r="G14" s="26"/>
      <c r="H14" s="26"/>
      <c r="I14" s="26"/>
      <c r="J14" s="26"/>
      <c r="K14" s="26"/>
      <c r="L14" s="26"/>
      <c r="M14" s="26"/>
      <c r="N14" s="26"/>
      <c r="O14" s="26"/>
      <c r="P14" s="26"/>
      <c r="Q14" s="26"/>
      <c r="R14" s="17">
        <v>5.7539623652701266</v>
      </c>
      <c r="S14" s="17">
        <v>2.4494405464828013</v>
      </c>
      <c r="T14" s="17"/>
      <c r="U14" s="17"/>
      <c r="V14" s="17"/>
      <c r="W14" s="17"/>
      <c r="X14" s="17"/>
      <c r="Y14" s="17"/>
      <c r="Z14" s="17">
        <v>6.2783207700704224</v>
      </c>
      <c r="AA14" s="17">
        <v>2.7841898506693541</v>
      </c>
      <c r="AB14" s="17"/>
      <c r="AC14" s="17"/>
      <c r="AD14" s="17"/>
      <c r="AE14" s="17"/>
      <c r="AF14" s="17">
        <v>0.41666666665454011</v>
      </c>
      <c r="AG14" s="17">
        <v>4.558718457223581E-2</v>
      </c>
      <c r="AH14" s="17">
        <v>2.9605798234115355</v>
      </c>
      <c r="AI14" s="17">
        <v>2.8605852687023581</v>
      </c>
      <c r="AJ14" s="17"/>
      <c r="AK14" s="17"/>
      <c r="AL14" s="17"/>
      <c r="AM14" s="17"/>
      <c r="AN14" s="17"/>
      <c r="AO14" s="17"/>
      <c r="AP14" s="26"/>
    </row>
    <row r="15" spans="1:42">
      <c r="A15" s="26"/>
      <c r="B15" s="26"/>
      <c r="C15" s="26"/>
      <c r="D15" s="26"/>
      <c r="E15" s="26"/>
      <c r="F15" s="26"/>
      <c r="G15" s="26"/>
      <c r="H15" s="26"/>
      <c r="I15" s="26"/>
      <c r="J15" s="26"/>
      <c r="K15" s="26"/>
      <c r="L15" s="26"/>
      <c r="M15" s="26"/>
      <c r="N15" s="26"/>
      <c r="O15" s="26"/>
      <c r="P15" s="26"/>
      <c r="Q15" s="26"/>
      <c r="R15" s="17">
        <v>7.0770850390545093</v>
      </c>
      <c r="S15" s="17">
        <v>2.6639431588165463</v>
      </c>
      <c r="T15" s="17"/>
      <c r="U15" s="17"/>
      <c r="V15" s="17"/>
      <c r="W15" s="17"/>
      <c r="X15" s="17"/>
      <c r="Y15" s="17"/>
      <c r="Z15" s="17">
        <v>7.4992138441302814</v>
      </c>
      <c r="AA15" s="17">
        <v>3.0585092287696898</v>
      </c>
      <c r="AB15" s="17"/>
      <c r="AC15" s="17"/>
      <c r="AD15" s="17"/>
      <c r="AE15" s="17"/>
      <c r="AF15" s="17">
        <v>0.58333333331635617</v>
      </c>
      <c r="AG15" s="17">
        <v>4.6722873832015566E-2</v>
      </c>
      <c r="AH15" s="17">
        <v>4.1980953348684125</v>
      </c>
      <c r="AI15" s="17">
        <v>3.0949879734255372</v>
      </c>
      <c r="AJ15" s="17"/>
      <c r="AK15" s="17"/>
      <c r="AL15" s="17"/>
      <c r="AM15" s="17"/>
      <c r="AN15" s="17"/>
      <c r="AO15" s="17"/>
      <c r="AP15" s="26"/>
    </row>
    <row r="16" spans="1:42">
      <c r="A16" s="26"/>
      <c r="B16" s="26"/>
      <c r="C16" s="26"/>
      <c r="D16" s="26"/>
      <c r="E16" s="26"/>
      <c r="F16" s="26"/>
      <c r="G16" s="26"/>
      <c r="H16" s="26"/>
      <c r="I16" s="26"/>
      <c r="J16" s="26"/>
      <c r="K16" s="26"/>
      <c r="L16" s="26"/>
      <c r="M16" s="26"/>
      <c r="N16" s="26"/>
      <c r="O16" s="26"/>
      <c r="P16" s="26"/>
      <c r="Q16" s="26"/>
      <c r="R16" s="17">
        <v>8.060804101114627</v>
      </c>
      <c r="S16" s="17">
        <v>2.8784457711502909</v>
      </c>
      <c r="T16" s="17"/>
      <c r="U16" s="17"/>
      <c r="V16" s="17"/>
      <c r="W16" s="17"/>
      <c r="X16" s="17"/>
      <c r="Y16" s="17"/>
      <c r="Z16" s="17">
        <v>8.3545435321866535</v>
      </c>
      <c r="AA16" s="17">
        <v>3.3024845674820242</v>
      </c>
      <c r="AB16" s="17"/>
      <c r="AC16" s="17"/>
      <c r="AD16" s="17"/>
      <c r="AE16" s="17"/>
      <c r="AF16" s="17">
        <v>0.74999999997817213</v>
      </c>
      <c r="AG16" s="17">
        <v>4.8237126178385936E-2</v>
      </c>
      <c r="AH16" s="17">
        <v>5.5483564428868704</v>
      </c>
      <c r="AI16" s="17">
        <v>3.2735308732353152</v>
      </c>
      <c r="AJ16" s="17"/>
      <c r="AK16" s="17"/>
      <c r="AL16" s="17"/>
      <c r="AM16" s="17"/>
      <c r="AN16" s="17"/>
      <c r="AO16" s="17"/>
      <c r="AP16" s="26"/>
    </row>
    <row r="17" spans="1:42">
      <c r="A17" s="26"/>
      <c r="B17" s="26"/>
      <c r="C17" s="26"/>
      <c r="D17" s="26"/>
      <c r="E17" s="26"/>
      <c r="F17" s="26"/>
      <c r="G17" s="26"/>
      <c r="H17" s="26"/>
      <c r="I17" s="26"/>
      <c r="J17" s="26"/>
      <c r="K17" s="26"/>
      <c r="L17" s="26"/>
      <c r="M17" s="26"/>
      <c r="N17" s="26"/>
      <c r="O17" s="26"/>
      <c r="P17" s="26"/>
      <c r="Q17" s="26"/>
      <c r="R17" s="17">
        <v>8.7492475504404865</v>
      </c>
      <c r="S17" s="17">
        <v>3.0929483834840354</v>
      </c>
      <c r="T17" s="17"/>
      <c r="U17" s="17"/>
      <c r="V17" s="17"/>
      <c r="W17" s="17"/>
      <c r="X17" s="17"/>
      <c r="Y17" s="17"/>
      <c r="Z17" s="17">
        <v>8.933838079974521</v>
      </c>
      <c r="AA17" s="17">
        <v>3.43747849104926</v>
      </c>
      <c r="AB17" s="17"/>
      <c r="AC17" s="17"/>
      <c r="AD17" s="17"/>
      <c r="AE17" s="17"/>
      <c r="AF17" s="17">
        <v>0.91666666663998819</v>
      </c>
      <c r="AG17" s="17">
        <v>5.0129941611354915E-2</v>
      </c>
      <c r="AH17" s="17">
        <v>6.9703873581602238</v>
      </c>
      <c r="AI17" s="17">
        <v>3.4831263395957648</v>
      </c>
      <c r="AJ17" s="17"/>
      <c r="AK17" s="17"/>
      <c r="AL17" s="17"/>
      <c r="AM17" s="17"/>
      <c r="AN17" s="17"/>
      <c r="AO17" s="17"/>
      <c r="AP17" s="26"/>
    </row>
    <row r="18" spans="1:42">
      <c r="A18" s="26"/>
      <c r="B18" s="26"/>
      <c r="C18" s="26"/>
      <c r="D18" s="26"/>
      <c r="E18" s="26"/>
      <c r="F18" s="26"/>
      <c r="G18" s="26"/>
      <c r="H18" s="26"/>
      <c r="I18" s="26"/>
      <c r="J18" s="26"/>
      <c r="K18" s="26"/>
      <c r="L18" s="26"/>
      <c r="M18" s="26"/>
      <c r="N18" s="26"/>
      <c r="O18" s="26"/>
      <c r="P18" s="26"/>
      <c r="Q18" s="26"/>
      <c r="R18" s="17">
        <v>9.2095433516078629</v>
      </c>
      <c r="S18" s="17">
        <v>3.3074509958177805</v>
      </c>
      <c r="T18" s="17"/>
      <c r="U18" s="17"/>
      <c r="V18" s="17"/>
      <c r="W18" s="17"/>
      <c r="X18" s="17"/>
      <c r="Y18" s="17"/>
      <c r="Z18" s="17">
        <v>9.3177054906846024</v>
      </c>
      <c r="AA18" s="17">
        <v>3.552244313005358</v>
      </c>
      <c r="AB18" s="17"/>
      <c r="AC18" s="17"/>
      <c r="AD18" s="17"/>
      <c r="AE18" s="17"/>
      <c r="AF18" s="17">
        <v>1.0833333333018043</v>
      </c>
      <c r="AG18" s="17">
        <v>5.2401320130909063E-2</v>
      </c>
      <c r="AH18" s="17">
        <v>8.4402233464061283</v>
      </c>
      <c r="AI18" s="17">
        <v>3.6744159386791289</v>
      </c>
      <c r="AJ18" s="17"/>
      <c r="AK18" s="17"/>
      <c r="AL18" s="17"/>
      <c r="AM18" s="17"/>
      <c r="AN18" s="17"/>
      <c r="AO18" s="17"/>
      <c r="AP18" s="26"/>
    </row>
    <row r="19" spans="1:42">
      <c r="A19" s="26"/>
      <c r="B19" s="26"/>
      <c r="C19" s="26"/>
      <c r="D19" s="26"/>
      <c r="E19" s="26"/>
      <c r="F19" s="26"/>
      <c r="G19" s="26"/>
      <c r="H19" s="26"/>
      <c r="I19" s="26"/>
      <c r="J19" s="26"/>
      <c r="K19" s="26"/>
      <c r="L19" s="26"/>
      <c r="M19" s="26"/>
      <c r="N19" s="26"/>
      <c r="O19" s="26"/>
      <c r="P19" s="26"/>
      <c r="Q19" s="26"/>
      <c r="R19" s="17">
        <v>9.5078176775132306</v>
      </c>
      <c r="S19" s="17">
        <v>3.5219536081515255</v>
      </c>
      <c r="T19" s="17"/>
      <c r="U19" s="17"/>
      <c r="V19" s="17"/>
      <c r="W19" s="17"/>
      <c r="X19" s="17"/>
      <c r="Y19" s="17"/>
      <c r="Z19" s="17">
        <v>9.5692240152857266</v>
      </c>
      <c r="AA19" s="17">
        <v>3.823462932128459</v>
      </c>
      <c r="AB19" s="17"/>
      <c r="AC19" s="17"/>
      <c r="AD19" s="17"/>
      <c r="AE19" s="17"/>
      <c r="AF19" s="17">
        <v>1.2499999999636202</v>
      </c>
      <c r="AG19" s="17">
        <v>5.5051261737064601E-2</v>
      </c>
      <c r="AH19" s="17">
        <v>9.9575227286550216</v>
      </c>
      <c r="AI19" s="17">
        <v>3.8778446124009789</v>
      </c>
      <c r="AJ19" s="17"/>
      <c r="AK19" s="17"/>
      <c r="AL19" s="17"/>
      <c r="AM19" s="17"/>
      <c r="AN19" s="17"/>
      <c r="AO19" s="17"/>
      <c r="AP19" s="26"/>
    </row>
    <row r="20" spans="1:42">
      <c r="A20" s="26"/>
      <c r="B20" s="26"/>
      <c r="C20" s="26"/>
      <c r="D20" s="26"/>
      <c r="E20" s="26"/>
      <c r="F20" s="26"/>
      <c r="G20" s="26"/>
      <c r="H20" s="26"/>
      <c r="I20" s="26"/>
      <c r="J20" s="26"/>
      <c r="K20" s="26"/>
      <c r="L20" s="26"/>
      <c r="M20" s="26"/>
      <c r="N20" s="26"/>
      <c r="O20" s="26"/>
      <c r="P20" s="26"/>
      <c r="Q20" s="26"/>
      <c r="R20" s="17">
        <v>9.6974923231755383</v>
      </c>
      <c r="S20" s="17">
        <v>3.73645622048527</v>
      </c>
      <c r="T20" s="17"/>
      <c r="U20" s="17"/>
      <c r="V20" s="17"/>
      <c r="W20" s="17"/>
      <c r="X20" s="17"/>
      <c r="Y20" s="17"/>
      <c r="Z20" s="17">
        <v>9.7341329892515205</v>
      </c>
      <c r="AA20" s="17">
        <v>3.8905521011166275</v>
      </c>
      <c r="AB20" s="17"/>
      <c r="AC20" s="17"/>
      <c r="AD20" s="17"/>
      <c r="AE20" s="17"/>
      <c r="AF20" s="17">
        <v>1.4166666666254364</v>
      </c>
      <c r="AG20" s="17">
        <v>5.8079766429808E-2</v>
      </c>
      <c r="AH20" s="17">
        <v>11.527829080296215</v>
      </c>
      <c r="AI20" s="17">
        <v>4.0878315094076099</v>
      </c>
      <c r="AJ20" s="17"/>
      <c r="AK20" s="17"/>
      <c r="AL20" s="17"/>
      <c r="AM20" s="17"/>
      <c r="AN20" s="17"/>
      <c r="AO20" s="17"/>
      <c r="AP20" s="26"/>
    </row>
    <row r="21" spans="1:42">
      <c r="A21" s="26"/>
      <c r="B21" s="26"/>
      <c r="C21" s="26"/>
      <c r="D21" s="26"/>
      <c r="E21" s="26"/>
      <c r="F21" s="26"/>
      <c r="G21" s="26"/>
      <c r="H21" s="26"/>
      <c r="I21" s="26"/>
      <c r="J21" s="26"/>
      <c r="K21" s="26"/>
      <c r="L21" s="26"/>
      <c r="M21" s="26"/>
      <c r="N21" s="26"/>
      <c r="O21" s="26"/>
      <c r="P21" s="26"/>
      <c r="Q21" s="26"/>
      <c r="R21" s="17">
        <v>9.8172888814588077</v>
      </c>
      <c r="S21" s="17">
        <v>3.9509588328190146</v>
      </c>
      <c r="T21" s="17"/>
      <c r="U21" s="17"/>
      <c r="V21" s="17"/>
      <c r="W21" s="17"/>
      <c r="X21" s="17"/>
      <c r="Y21" s="17"/>
      <c r="Z21" s="17">
        <v>9.8443795563071035</v>
      </c>
      <c r="AA21" s="17">
        <v>4.3014524261839684</v>
      </c>
      <c r="AB21" s="17"/>
      <c r="AC21" s="17"/>
      <c r="AD21" s="17"/>
      <c r="AE21" s="17"/>
      <c r="AF21" s="17">
        <v>1.5833333332872523</v>
      </c>
      <c r="AG21" s="17">
        <v>6.1486834209144574E-2</v>
      </c>
      <c r="AH21" s="17">
        <v>13.142040256934706</v>
      </c>
      <c r="AI21" s="17">
        <v>4.2595044983066614</v>
      </c>
      <c r="AJ21" s="17"/>
      <c r="AK21" s="17"/>
      <c r="AL21" s="17"/>
      <c r="AM21" s="17"/>
      <c r="AN21" s="17"/>
      <c r="AO21" s="17"/>
      <c r="AP21" s="26"/>
    </row>
    <row r="22" spans="1:42">
      <c r="A22" s="26"/>
      <c r="B22" s="26"/>
      <c r="C22" s="26"/>
      <c r="D22" s="26"/>
      <c r="E22" s="26"/>
      <c r="F22" s="26"/>
      <c r="G22" s="26"/>
      <c r="H22" s="26"/>
      <c r="I22" s="26"/>
      <c r="J22" s="26"/>
      <c r="K22" s="26"/>
      <c r="L22" s="26"/>
      <c r="M22" s="26"/>
      <c r="N22" s="26"/>
      <c r="O22" s="26"/>
      <c r="P22" s="26"/>
      <c r="Q22" s="26"/>
      <c r="R22" s="17">
        <v>9.8936794631299563</v>
      </c>
      <c r="S22" s="17">
        <v>4.1654614451527596</v>
      </c>
      <c r="T22" s="17"/>
      <c r="U22" s="17"/>
      <c r="V22" s="17"/>
      <c r="W22" s="17"/>
      <c r="X22" s="17"/>
      <c r="Y22" s="17"/>
      <c r="Z22" s="17">
        <v>9.9221950062201358</v>
      </c>
      <c r="AA22" s="17">
        <v>4.1180299079231917</v>
      </c>
      <c r="AB22" s="17"/>
      <c r="AC22" s="17"/>
      <c r="AD22" s="17"/>
      <c r="AE22" s="17"/>
      <c r="AF22" s="17">
        <v>1.7499999999490683</v>
      </c>
      <c r="AG22" s="17">
        <v>6.5272465075077224E-2</v>
      </c>
      <c r="AH22" s="17">
        <v>14.768722133885603</v>
      </c>
      <c r="AI22" s="17">
        <v>4.4838214059062302</v>
      </c>
      <c r="AJ22" s="17"/>
      <c r="AK22" s="17"/>
      <c r="AL22" s="17"/>
      <c r="AM22" s="17"/>
      <c r="AN22" s="17"/>
      <c r="AO22" s="17"/>
      <c r="AP22" s="26"/>
    </row>
    <row r="23" spans="1:42">
      <c r="A23" s="26"/>
      <c r="B23" s="26"/>
      <c r="C23" s="26"/>
      <c r="D23" s="26"/>
      <c r="E23" s="26"/>
      <c r="F23" s="26"/>
      <c r="G23" s="26"/>
      <c r="H23" s="26"/>
      <c r="I23" s="26"/>
      <c r="J23" s="26"/>
      <c r="K23" s="26"/>
      <c r="L23" s="26"/>
      <c r="M23" s="26"/>
      <c r="N23" s="26"/>
      <c r="O23" s="26"/>
      <c r="P23" s="26"/>
      <c r="Q23" s="26"/>
      <c r="R23" s="17">
        <v>9.9443849801900797</v>
      </c>
      <c r="S23" s="17">
        <v>4.3799640574865037</v>
      </c>
      <c r="T23" s="17"/>
      <c r="U23" s="17"/>
      <c r="V23" s="17"/>
      <c r="W23" s="17"/>
      <c r="X23" s="17"/>
      <c r="Y23" s="17"/>
      <c r="Z23" s="17">
        <v>9.9836717694415711</v>
      </c>
      <c r="AA23" s="17">
        <v>4.4222375270910561</v>
      </c>
      <c r="AB23" s="17"/>
      <c r="AC23" s="17"/>
      <c r="AD23" s="17"/>
      <c r="AE23" s="17"/>
      <c r="AF23" s="17">
        <v>1.9166666666108845</v>
      </c>
      <c r="AG23" s="17">
        <v>6.9436659027600392E-2</v>
      </c>
      <c r="AH23" s="17">
        <v>16.356732237909455</v>
      </c>
      <c r="AI23" s="17">
        <v>4.6824077536202964</v>
      </c>
      <c r="AJ23" s="17"/>
      <c r="AK23" s="17"/>
      <c r="AL23" s="17"/>
      <c r="AM23" s="17"/>
      <c r="AN23" s="17"/>
      <c r="AO23" s="17"/>
      <c r="AP23" s="26"/>
    </row>
    <row r="24" spans="1:42">
      <c r="A24" s="26"/>
      <c r="B24" s="26"/>
      <c r="C24" s="26"/>
      <c r="D24" s="26"/>
      <c r="E24" s="26"/>
      <c r="F24" s="26"/>
      <c r="G24" s="26"/>
      <c r="H24" s="26"/>
      <c r="I24" s="26"/>
      <c r="J24" s="26"/>
      <c r="K24" s="26"/>
      <c r="L24" s="26"/>
      <c r="M24" s="26"/>
      <c r="N24" s="26"/>
      <c r="O24" s="26"/>
      <c r="P24" s="26"/>
      <c r="Q24" s="26"/>
      <c r="R24" s="17">
        <v>9.9815251436666586</v>
      </c>
      <c r="S24" s="17">
        <v>4.5944666698202496</v>
      </c>
      <c r="T24" s="17"/>
      <c r="U24" s="17"/>
      <c r="V24" s="17"/>
      <c r="W24" s="17"/>
      <c r="X24" s="17"/>
      <c r="Y24" s="17"/>
      <c r="Z24" s="17">
        <v>10.041700130386744</v>
      </c>
      <c r="AA24" s="17">
        <v>4.8408818402700122</v>
      </c>
      <c r="AB24" s="17"/>
      <c r="AC24" s="17"/>
      <c r="AD24" s="17"/>
      <c r="AE24" s="17"/>
      <c r="AF24" s="17">
        <v>2.0833333332727006</v>
      </c>
      <c r="AG24" s="17">
        <v>7.3979218696258078E-2</v>
      </c>
      <c r="AH24" s="17">
        <v>17.844781892199535</v>
      </c>
      <c r="AI24" s="17">
        <v>4.8893591124005615</v>
      </c>
      <c r="AJ24" s="17"/>
      <c r="AK24" s="17"/>
      <c r="AL24" s="17"/>
      <c r="AM24" s="17"/>
      <c r="AN24" s="17"/>
      <c r="AO24" s="17"/>
      <c r="AP24" s="26"/>
    </row>
    <row r="25" spans="1:42">
      <c r="A25" s="26"/>
      <c r="B25" s="26"/>
      <c r="C25" s="26"/>
      <c r="D25" s="26"/>
      <c r="E25" s="26"/>
      <c r="F25" s="26"/>
      <c r="G25" s="26"/>
      <c r="H25" s="26"/>
      <c r="I25" s="26"/>
      <c r="J25" s="26"/>
      <c r="K25" s="26"/>
      <c r="L25" s="26"/>
      <c r="M25" s="26"/>
      <c r="N25" s="26"/>
      <c r="O25" s="26"/>
      <c r="P25" s="26"/>
      <c r="Q25" s="26"/>
      <c r="R25" s="17">
        <v>10.014129265618976</v>
      </c>
      <c r="S25" s="17">
        <v>4.8089692821539938</v>
      </c>
      <c r="T25" s="17"/>
      <c r="U25" s="17"/>
      <c r="V25" s="17"/>
      <c r="W25" s="17"/>
      <c r="X25" s="17"/>
      <c r="Y25" s="17"/>
      <c r="Z25" s="17">
        <v>10.108475277957041</v>
      </c>
      <c r="AA25" s="17">
        <v>5.18642603373155</v>
      </c>
      <c r="AB25" s="17"/>
      <c r="AC25" s="17"/>
      <c r="AD25" s="17"/>
      <c r="AE25" s="17"/>
      <c r="AF25" s="17">
        <v>2.2499999999345164</v>
      </c>
      <c r="AG25" s="17">
        <v>7.8784297888935956E-2</v>
      </c>
      <c r="AH25" s="17">
        <v>19.181782512168866</v>
      </c>
      <c r="AI25" s="17">
        <v>5.0960081052444872</v>
      </c>
      <c r="AJ25" s="17"/>
      <c r="AK25" s="17"/>
      <c r="AL25" s="17"/>
      <c r="AM25" s="17"/>
      <c r="AN25" s="17"/>
      <c r="AO25" s="17"/>
      <c r="AP25" s="26"/>
    </row>
    <row r="26" spans="1:42">
      <c r="A26" s="26"/>
      <c r="B26" s="26"/>
      <c r="C26" s="26"/>
      <c r="D26" s="26"/>
      <c r="E26" s="26"/>
      <c r="F26" s="26"/>
      <c r="G26" s="26"/>
      <c r="H26" s="26"/>
      <c r="I26" s="26"/>
      <c r="J26" s="26"/>
      <c r="K26" s="26"/>
      <c r="L26" s="26"/>
      <c r="M26" s="26"/>
      <c r="N26" s="26"/>
      <c r="O26" s="26"/>
      <c r="P26" s="26"/>
      <c r="Q26" s="26"/>
      <c r="R26" s="17">
        <v>10.050161390972789</v>
      </c>
      <c r="S26" s="17">
        <v>5.0234718944877388</v>
      </c>
      <c r="T26" s="17"/>
      <c r="U26" s="17"/>
      <c r="V26" s="17"/>
      <c r="W26" s="17"/>
      <c r="X26" s="17"/>
      <c r="Y26" s="17"/>
      <c r="Z26" s="17">
        <v>10.197893586882856</v>
      </c>
      <c r="AA26" s="17">
        <v>5.1923094727657739</v>
      </c>
      <c r="AB26" s="17"/>
      <c r="AC26" s="17"/>
      <c r="AD26" s="17"/>
      <c r="AE26" s="17"/>
      <c r="AF26" s="17">
        <v>2.4166666665963326</v>
      </c>
      <c r="AG26" s="17">
        <v>8.3541216689287837E-2</v>
      </c>
      <c r="AH26" s="17">
        <v>20.351667587237898</v>
      </c>
      <c r="AI26" s="17">
        <v>5.295324570912868</v>
      </c>
      <c r="AJ26" s="17"/>
      <c r="AK26" s="17"/>
      <c r="AL26" s="17"/>
      <c r="AM26" s="17"/>
      <c r="AN26" s="17"/>
      <c r="AO26" s="17"/>
      <c r="AP26" s="26"/>
    </row>
    <row r="27" spans="1:42">
      <c r="A27" s="26"/>
      <c r="B27" s="26"/>
      <c r="C27" s="26"/>
      <c r="D27" s="26"/>
      <c r="E27" s="26"/>
      <c r="F27" s="26"/>
      <c r="G27" s="26"/>
      <c r="H27" s="26"/>
      <c r="I27" s="26"/>
      <c r="J27" s="26"/>
      <c r="K27" s="26"/>
      <c r="L27" s="26"/>
      <c r="M27" s="26"/>
      <c r="N27" s="26"/>
      <c r="O27" s="26"/>
      <c r="P27" s="26"/>
      <c r="Q27" s="26"/>
      <c r="R27" s="17">
        <v>10.09834472934017</v>
      </c>
      <c r="S27" s="17">
        <v>5.2379745068214838</v>
      </c>
      <c r="T27" s="17"/>
      <c r="U27" s="17"/>
      <c r="V27" s="17"/>
      <c r="W27" s="17"/>
      <c r="X27" s="17"/>
      <c r="Y27" s="17"/>
      <c r="Z27" s="17">
        <v>10.328164369275328</v>
      </c>
      <c r="AA27" s="17">
        <v>5.3796424258686599</v>
      </c>
      <c r="AB27" s="17"/>
      <c r="AC27" s="17"/>
      <c r="AD27" s="17"/>
      <c r="AE27" s="17"/>
      <c r="AF27" s="17">
        <v>2.5833333332581487</v>
      </c>
      <c r="AG27" s="17">
        <v>8.8198436746620423E-2</v>
      </c>
      <c r="AH27" s="17">
        <v>21.384160743036773</v>
      </c>
      <c r="AI27" s="17">
        <v>5.5011578789688649</v>
      </c>
      <c r="AJ27" s="17"/>
      <c r="AK27" s="17"/>
      <c r="AL27" s="17"/>
      <c r="AM27" s="17"/>
      <c r="AN27" s="17"/>
      <c r="AO27" s="17"/>
      <c r="AP27" s="26"/>
    </row>
    <row r="28" spans="1:42">
      <c r="A28" s="26"/>
      <c r="B28" s="26"/>
      <c r="C28" s="26"/>
      <c r="D28" s="26"/>
      <c r="E28" s="26"/>
      <c r="F28" s="26"/>
      <c r="G28" s="26"/>
      <c r="H28" s="26"/>
      <c r="I28" s="26"/>
      <c r="J28" s="26"/>
      <c r="K28" s="26"/>
      <c r="L28" s="26"/>
      <c r="M28" s="26"/>
      <c r="N28" s="26"/>
      <c r="O28" s="26"/>
      <c r="P28" s="26"/>
      <c r="Q28" s="26"/>
      <c r="R28" s="17">
        <v>10.170080677198712</v>
      </c>
      <c r="S28" s="17">
        <v>5.4524771191552279</v>
      </c>
      <c r="T28" s="17"/>
      <c r="U28" s="17"/>
      <c r="V28" s="17"/>
      <c r="W28" s="17"/>
      <c r="X28" s="17"/>
      <c r="Y28" s="17"/>
      <c r="Z28" s="17">
        <v>10.524891586101148</v>
      </c>
      <c r="AA28" s="17">
        <v>5.5674684633873399</v>
      </c>
      <c r="AB28" s="17"/>
      <c r="AC28" s="17"/>
      <c r="AD28" s="17"/>
      <c r="AE28" s="17"/>
      <c r="AF28" s="17">
        <v>2.7499999999199645</v>
      </c>
      <c r="AG28" s="17">
        <v>9.2755958060937019E-2</v>
      </c>
      <c r="AH28" s="17">
        <v>22.342685637704562</v>
      </c>
      <c r="AI28" s="17">
        <v>5.6875888803489509</v>
      </c>
      <c r="AJ28" s="17"/>
      <c r="AK28" s="17"/>
      <c r="AL28" s="17"/>
      <c r="AM28" s="17"/>
      <c r="AN28" s="17"/>
      <c r="AO28" s="17"/>
      <c r="AP28" s="26"/>
    </row>
    <row r="29" spans="1:42">
      <c r="A29" s="26"/>
      <c r="B29" s="26"/>
      <c r="C29" s="26"/>
      <c r="D29" s="26"/>
      <c r="E29" s="26"/>
      <c r="F29" s="26"/>
      <c r="G29" s="26"/>
      <c r="H29" s="26"/>
      <c r="I29" s="26"/>
      <c r="J29" s="26"/>
      <c r="K29" s="26"/>
      <c r="L29" s="26"/>
      <c r="M29" s="26"/>
      <c r="N29" s="26"/>
      <c r="O29" s="26"/>
      <c r="P29" s="26"/>
      <c r="Q29" s="26"/>
      <c r="R29" s="17">
        <v>10.281694422883447</v>
      </c>
      <c r="S29" s="17">
        <v>5.6669797314889729</v>
      </c>
      <c r="T29" s="17"/>
      <c r="U29" s="17"/>
      <c r="V29" s="17"/>
      <c r="W29" s="17"/>
      <c r="X29" s="17"/>
      <c r="Y29" s="17"/>
      <c r="Z29" s="17">
        <v>10.824641671206336</v>
      </c>
      <c r="AA29" s="17">
        <v>5.7681651949696242</v>
      </c>
      <c r="AB29" s="17"/>
      <c r="AC29" s="17"/>
      <c r="AD29" s="17"/>
      <c r="AE29" s="17"/>
      <c r="AF29" s="17">
        <v>2.9166666665817806</v>
      </c>
      <c r="AG29" s="17">
        <v>9.7213780632235028E-2</v>
      </c>
      <c r="AH29" s="17">
        <v>23.297000558522996</v>
      </c>
      <c r="AI29" s="17">
        <v>5.8781362815611065</v>
      </c>
      <c r="AJ29" s="17"/>
      <c r="AK29" s="17"/>
      <c r="AL29" s="17"/>
      <c r="AM29" s="17"/>
      <c r="AN29" s="17"/>
      <c r="AO29" s="17"/>
      <c r="AP29" s="26"/>
    </row>
    <row r="30" spans="1:42">
      <c r="A30" s="26"/>
      <c r="B30" s="26"/>
      <c r="C30" s="26"/>
      <c r="D30" s="26"/>
      <c r="E30" s="26"/>
      <c r="F30" s="26"/>
      <c r="G30" s="26"/>
      <c r="H30" s="26"/>
      <c r="I30" s="26"/>
      <c r="J30" s="26"/>
      <c r="K30" s="26"/>
      <c r="L30" s="26"/>
      <c r="M30" s="26"/>
      <c r="N30" s="26"/>
      <c r="O30" s="26"/>
      <c r="P30" s="26"/>
      <c r="Q30" s="26"/>
      <c r="R30" s="17">
        <v>10.45702534756856</v>
      </c>
      <c r="S30" s="17">
        <v>5.881482343822718</v>
      </c>
      <c r="T30" s="17"/>
      <c r="U30" s="17"/>
      <c r="V30" s="17"/>
      <c r="W30" s="17"/>
      <c r="X30" s="17"/>
      <c r="Y30" s="17"/>
      <c r="Z30" s="17">
        <v>11.278386386402417</v>
      </c>
      <c r="AA30" s="17">
        <v>6.0832747816853221</v>
      </c>
      <c r="AB30" s="17"/>
      <c r="AC30" s="17"/>
      <c r="AD30" s="17"/>
      <c r="AE30" s="17"/>
      <c r="AF30" s="17">
        <v>3.0833333332435968</v>
      </c>
      <c r="AG30" s="17">
        <v>0.10157190446052163</v>
      </c>
      <c r="AH30" s="17">
        <v>24.292349834286142</v>
      </c>
      <c r="AI30" s="17">
        <v>6.0934056529216472</v>
      </c>
      <c r="AJ30" s="17"/>
      <c r="AK30" s="17"/>
      <c r="AL30" s="17"/>
      <c r="AM30" s="17"/>
      <c r="AN30" s="17"/>
      <c r="AO30" s="17"/>
      <c r="AP30" s="26"/>
    </row>
    <row r="31" spans="1:42">
      <c r="A31" s="26"/>
      <c r="B31" s="26"/>
      <c r="C31" s="26"/>
      <c r="D31" s="26"/>
      <c r="E31" s="26"/>
      <c r="F31" s="26"/>
      <c r="G31" s="26"/>
      <c r="H31" s="26"/>
      <c r="I31" s="26"/>
      <c r="J31" s="26"/>
      <c r="K31" s="26"/>
      <c r="L31" s="26"/>
      <c r="M31" s="26"/>
      <c r="N31" s="26"/>
      <c r="O31" s="26"/>
      <c r="P31" s="26"/>
      <c r="Q31" s="26"/>
      <c r="R31" s="17">
        <v>10.729793940845411</v>
      </c>
      <c r="S31" s="17">
        <v>6.0959849561564621</v>
      </c>
      <c r="T31" s="17"/>
      <c r="U31" s="17"/>
      <c r="V31" s="17"/>
      <c r="W31" s="17"/>
      <c r="X31" s="17"/>
      <c r="Y31" s="17"/>
      <c r="Z31" s="17">
        <v>11.952848396322224</v>
      </c>
      <c r="AA31" s="17">
        <v>6.2216419441439212</v>
      </c>
      <c r="AB31" s="17"/>
      <c r="AC31" s="17"/>
      <c r="AD31" s="17"/>
      <c r="AE31" s="17"/>
      <c r="AF31" s="17">
        <v>3.2499999999054126</v>
      </c>
      <c r="AG31" s="17">
        <v>0.10583032954578697</v>
      </c>
      <c r="AH31" s="17">
        <v>25.326453409797978</v>
      </c>
      <c r="AI31" s="17">
        <v>6.3068681297414004</v>
      </c>
      <c r="AJ31" s="17"/>
      <c r="AK31" s="17"/>
      <c r="AL31" s="17"/>
      <c r="AM31" s="17"/>
      <c r="AN31" s="17"/>
      <c r="AO31" s="17"/>
      <c r="AP31" s="26"/>
    </row>
    <row r="32" spans="1:42">
      <c r="A32" s="26"/>
      <c r="B32" s="26"/>
      <c r="C32" s="26"/>
      <c r="D32" s="26"/>
      <c r="E32" s="26"/>
      <c r="F32" s="26"/>
      <c r="G32" s="26"/>
      <c r="H32" s="26"/>
      <c r="I32" s="26"/>
      <c r="J32" s="26"/>
      <c r="K32" s="26"/>
      <c r="L32" s="26"/>
      <c r="M32" s="26"/>
      <c r="N32" s="26"/>
      <c r="O32" s="26"/>
      <c r="P32" s="26"/>
      <c r="Q32" s="26"/>
      <c r="R32" s="17">
        <v>11.143875245761592</v>
      </c>
      <c r="S32" s="17">
        <v>6.3104875684902071</v>
      </c>
      <c r="T32" s="17"/>
      <c r="U32" s="17"/>
      <c r="V32" s="17"/>
      <c r="W32" s="17"/>
      <c r="X32" s="17"/>
      <c r="Y32" s="17"/>
      <c r="Z32" s="17">
        <v>12.925509912020061</v>
      </c>
      <c r="AA32" s="17">
        <v>6.4441657189466062</v>
      </c>
      <c r="AB32" s="17"/>
      <c r="AC32" s="17"/>
      <c r="AD32" s="17"/>
      <c r="AE32" s="17"/>
      <c r="AF32" s="17">
        <v>3.4166666665672287</v>
      </c>
      <c r="AG32" s="17">
        <v>0.10998905588803906</v>
      </c>
      <c r="AH32" s="17">
        <v>26.347641290340107</v>
      </c>
      <c r="AI32" s="17">
        <v>6.4901526380963626</v>
      </c>
      <c r="AJ32" s="17"/>
      <c r="AK32" s="17"/>
      <c r="AL32" s="17"/>
      <c r="AM32" s="17"/>
      <c r="AN32" s="17"/>
      <c r="AO32" s="17"/>
      <c r="AP32" s="26"/>
    </row>
    <row r="33" spans="1:42">
      <c r="A33" s="26"/>
      <c r="B33" s="26"/>
      <c r="C33" s="26"/>
      <c r="D33" s="26"/>
      <c r="E33" s="26"/>
      <c r="F33" s="26"/>
      <c r="G33" s="26"/>
      <c r="H33" s="26"/>
      <c r="I33" s="26"/>
      <c r="J33" s="26"/>
      <c r="K33" s="26"/>
      <c r="L33" s="26"/>
      <c r="M33" s="26"/>
      <c r="N33" s="26"/>
      <c r="O33" s="26"/>
      <c r="P33" s="26"/>
      <c r="Q33" s="26"/>
      <c r="R33" s="17">
        <v>11.747540258511435</v>
      </c>
      <c r="S33" s="17">
        <v>6.5249901808239521</v>
      </c>
      <c r="T33" s="17"/>
      <c r="U33" s="17"/>
      <c r="V33" s="17"/>
      <c r="W33" s="17"/>
      <c r="X33" s="17"/>
      <c r="Y33" s="17"/>
      <c r="Z33" s="17">
        <v>14.266958106600214</v>
      </c>
      <c r="AA33" s="17">
        <v>6.6170152428187432</v>
      </c>
      <c r="AB33" s="17"/>
      <c r="AC33" s="17"/>
      <c r="AD33" s="17"/>
      <c r="AE33" s="17"/>
      <c r="AF33" s="17">
        <v>3.5833333332290449</v>
      </c>
      <c r="AG33" s="17">
        <v>0.1140480834872717</v>
      </c>
      <c r="AH33" s="17">
        <v>27.280329070345033</v>
      </c>
      <c r="AI33" s="17">
        <v>6.6984786649681629</v>
      </c>
      <c r="AJ33" s="17"/>
      <c r="AK33" s="17"/>
      <c r="AL33" s="17"/>
      <c r="AM33" s="17"/>
      <c r="AN33" s="17"/>
      <c r="AO33" s="17"/>
      <c r="AP33" s="26"/>
    </row>
    <row r="34" spans="1:42">
      <c r="A34" s="26"/>
      <c r="B34" s="26"/>
      <c r="C34" s="26"/>
      <c r="D34" s="26"/>
      <c r="E34" s="26"/>
      <c r="F34" s="26"/>
      <c r="G34" s="26"/>
      <c r="H34" s="26"/>
      <c r="I34" s="26"/>
      <c r="J34" s="26"/>
      <c r="K34" s="26"/>
      <c r="L34" s="26"/>
      <c r="M34" s="26"/>
      <c r="N34" s="26"/>
      <c r="O34" s="26"/>
      <c r="P34" s="26"/>
      <c r="Q34" s="26"/>
      <c r="R34" s="17">
        <v>12.576544815965462</v>
      </c>
      <c r="S34" s="17">
        <v>6.7394927931576971</v>
      </c>
      <c r="T34" s="17"/>
      <c r="U34" s="17"/>
      <c r="V34" s="17"/>
      <c r="W34" s="17"/>
      <c r="X34" s="17"/>
      <c r="Y34" s="17"/>
      <c r="Z34" s="17">
        <v>16.006536425265949</v>
      </c>
      <c r="AA34" s="17">
        <v>6.8276927663199602</v>
      </c>
      <c r="AB34" s="17"/>
      <c r="AC34" s="17"/>
      <c r="AD34" s="17"/>
      <c r="AE34" s="17"/>
      <c r="AF34" s="17">
        <v>3.7499999998908606</v>
      </c>
      <c r="AG34" s="17">
        <v>0.11800741234348844</v>
      </c>
      <c r="AH34" s="17">
        <v>28.062663164746482</v>
      </c>
      <c r="AI34" s="17">
        <v>6.8921215216629204</v>
      </c>
      <c r="AJ34" s="17"/>
      <c r="AK34" s="17"/>
      <c r="AL34" s="17"/>
      <c r="AM34" s="17"/>
      <c r="AN34" s="17"/>
      <c r="AO34" s="17"/>
      <c r="AP34" s="26"/>
    </row>
    <row r="35" spans="1:42">
      <c r="A35" s="26"/>
      <c r="B35" s="26"/>
      <c r="C35" s="26"/>
      <c r="D35" s="26"/>
      <c r="E35" s="26"/>
      <c r="F35" s="26"/>
      <c r="G35" s="26"/>
      <c r="H35" s="26"/>
      <c r="I35" s="26"/>
      <c r="J35" s="26"/>
      <c r="K35" s="26"/>
      <c r="L35" s="26"/>
      <c r="M35" s="26"/>
      <c r="N35" s="26"/>
      <c r="O35" s="26"/>
      <c r="P35" s="26"/>
      <c r="Q35" s="26"/>
      <c r="R35" s="17">
        <v>13.625772965315264</v>
      </c>
      <c r="S35" s="17">
        <v>6.9539954054914412</v>
      </c>
      <c r="T35" s="17"/>
      <c r="U35" s="17"/>
      <c r="V35" s="17"/>
      <c r="W35" s="17"/>
      <c r="X35" s="17"/>
      <c r="Y35" s="17"/>
      <c r="Z35" s="17">
        <v>18.090350537386257</v>
      </c>
      <c r="AA35" s="17">
        <v>6.9951606211625039</v>
      </c>
      <c r="AB35" s="17"/>
      <c r="AC35" s="17"/>
      <c r="AD35" s="17"/>
      <c r="AE35" s="17"/>
      <c r="AF35" s="17">
        <v>3.9166666665526768</v>
      </c>
      <c r="AG35" s="17">
        <v>0.12186704245668929</v>
      </c>
      <c r="AH35" s="17">
        <v>28.669746332161594</v>
      </c>
      <c r="AI35" s="17">
        <v>7.0865812115333977</v>
      </c>
      <c r="AJ35" s="17"/>
      <c r="AK35" s="17"/>
      <c r="AL35" s="17"/>
      <c r="AM35" s="17"/>
      <c r="AN35" s="17"/>
      <c r="AO35" s="17"/>
      <c r="AP35" s="26"/>
    </row>
    <row r="36" spans="1:42">
      <c r="A36" s="26"/>
      <c r="B36" s="26"/>
      <c r="C36" s="26"/>
      <c r="D36" s="26"/>
      <c r="E36" s="26"/>
      <c r="F36" s="26"/>
      <c r="G36" s="26"/>
      <c r="H36" s="26"/>
      <c r="I36" s="26"/>
      <c r="J36" s="26"/>
      <c r="K36" s="26"/>
      <c r="L36" s="26"/>
      <c r="M36" s="26"/>
      <c r="N36" s="26"/>
      <c r="O36" s="26"/>
      <c r="P36" s="26"/>
      <c r="Q36" s="26"/>
      <c r="R36" s="17">
        <v>14.824491734907497</v>
      </c>
      <c r="S36" s="17">
        <v>7.1684980178251863</v>
      </c>
      <c r="T36" s="17"/>
      <c r="U36" s="17"/>
      <c r="V36" s="17"/>
      <c r="W36" s="17"/>
      <c r="X36" s="17"/>
      <c r="Y36" s="17"/>
      <c r="Z36" s="17">
        <v>20.361693068116438</v>
      </c>
      <c r="AA36" s="17">
        <v>7.2242915053851906</v>
      </c>
      <c r="AB36" s="17"/>
      <c r="AC36" s="17"/>
      <c r="AD36" s="17"/>
      <c r="AE36" s="17"/>
      <c r="AF36" s="17">
        <v>4.083333333214493</v>
      </c>
      <c r="AG36" s="17">
        <v>0.12532425958367199</v>
      </c>
      <c r="AH36" s="17">
        <v>29.111924824246671</v>
      </c>
      <c r="AI36" s="17">
        <v>7.3027161829434339</v>
      </c>
      <c r="AJ36" s="17"/>
      <c r="AK36" s="17"/>
      <c r="AL36" s="17"/>
      <c r="AM36" s="17"/>
      <c r="AN36" s="17"/>
      <c r="AO36" s="17"/>
      <c r="AP36" s="26"/>
    </row>
    <row r="37" spans="1:42">
      <c r="A37" s="26"/>
      <c r="B37" s="26"/>
      <c r="C37" s="26"/>
      <c r="D37" s="26"/>
      <c r="E37" s="26"/>
      <c r="F37" s="26"/>
      <c r="G37" s="26"/>
      <c r="H37" s="26"/>
      <c r="I37" s="26"/>
      <c r="J37" s="26"/>
      <c r="K37" s="26"/>
      <c r="L37" s="26"/>
      <c r="M37" s="26"/>
      <c r="N37" s="26"/>
      <c r="O37" s="26"/>
      <c r="P37" s="26"/>
      <c r="Q37" s="26"/>
      <c r="R37" s="17">
        <v>16.043755009013694</v>
      </c>
      <c r="S37" s="17">
        <v>7.3830006301589313</v>
      </c>
      <c r="T37" s="17"/>
      <c r="U37" s="17"/>
      <c r="V37" s="17"/>
      <c r="W37" s="17"/>
      <c r="X37" s="17"/>
      <c r="Y37" s="17"/>
      <c r="Z37" s="17">
        <v>22.596293150854763</v>
      </c>
      <c r="AA37" s="17">
        <v>7.5369926953129474</v>
      </c>
      <c r="AB37" s="17"/>
      <c r="AC37" s="17"/>
      <c r="AD37" s="17"/>
      <c r="AE37" s="17"/>
      <c r="AF37" s="17">
        <v>4.2499999998763087</v>
      </c>
      <c r="AG37" s="17">
        <v>0.12705421023799485</v>
      </c>
      <c r="AH37" s="17">
        <v>29.419084104301874</v>
      </c>
      <c r="AI37" s="17">
        <v>7.5183351617865268</v>
      </c>
      <c r="AJ37" s="17"/>
      <c r="AK37" s="17"/>
      <c r="AL37" s="17"/>
      <c r="AM37" s="17"/>
      <c r="AN37" s="17"/>
      <c r="AO37" s="17"/>
      <c r="AP37" s="26"/>
    </row>
    <row r="38" spans="1:42">
      <c r="A38" s="26"/>
      <c r="B38" s="26"/>
      <c r="C38" s="26"/>
      <c r="D38" s="26"/>
      <c r="E38" s="26"/>
      <c r="F38" s="26"/>
      <c r="G38" s="26"/>
      <c r="H38" s="26"/>
      <c r="I38" s="26"/>
      <c r="J38" s="26"/>
      <c r="K38" s="26"/>
      <c r="L38" s="26"/>
      <c r="M38" s="26"/>
      <c r="N38" s="26"/>
      <c r="O38" s="26"/>
      <c r="P38" s="26"/>
      <c r="Q38" s="26"/>
      <c r="R38" s="17">
        <v>17.145786933542695</v>
      </c>
      <c r="S38" s="17">
        <v>7.5975032424926754</v>
      </c>
      <c r="T38" s="17"/>
      <c r="U38" s="17"/>
      <c r="V38" s="17"/>
      <c r="W38" s="17"/>
      <c r="X38" s="17"/>
      <c r="Y38" s="17"/>
      <c r="Z38" s="17">
        <v>24.583749643352348</v>
      </c>
      <c r="AA38" s="17">
        <v>7.6312835094146427</v>
      </c>
      <c r="AB38" s="17"/>
      <c r="AC38" s="17"/>
      <c r="AD38" s="17"/>
      <c r="AE38" s="17"/>
      <c r="AF38" s="17">
        <v>4.4166666665381253</v>
      </c>
      <c r="AG38" s="17">
        <v>0.12669454903197488</v>
      </c>
      <c r="AH38" s="17">
        <v>29.625479625246953</v>
      </c>
      <c r="AI38" s="17">
        <v>7.7038716139905157</v>
      </c>
      <c r="AJ38" s="17"/>
      <c r="AK38" s="17"/>
      <c r="AL38" s="17"/>
      <c r="AM38" s="17"/>
      <c r="AN38" s="17"/>
      <c r="AO38" s="17"/>
      <c r="AP38" s="26"/>
    </row>
    <row r="39" spans="1:42">
      <c r="A39" s="26"/>
      <c r="B39" s="26"/>
      <c r="C39" s="26"/>
      <c r="D39" s="26"/>
      <c r="E39" s="26"/>
      <c r="F39" s="26"/>
      <c r="G39" s="26"/>
      <c r="H39" s="26"/>
      <c r="I39" s="26"/>
      <c r="J39" s="26"/>
      <c r="K39" s="26"/>
      <c r="L39" s="26"/>
      <c r="M39" s="26"/>
      <c r="N39" s="26"/>
      <c r="O39" s="26"/>
      <c r="P39" s="26"/>
      <c r="Q39" s="26"/>
      <c r="R39" s="17">
        <v>18.040535067848396</v>
      </c>
      <c r="S39" s="17">
        <v>7.8120058548264204</v>
      </c>
      <c r="T39" s="17"/>
      <c r="U39" s="17"/>
      <c r="V39" s="17"/>
      <c r="W39" s="17"/>
      <c r="X39" s="17"/>
      <c r="Y39" s="17"/>
      <c r="Z39" s="17">
        <v>26.198946092335973</v>
      </c>
      <c r="AA39" s="17">
        <v>7.78317475317046</v>
      </c>
      <c r="AB39" s="17"/>
      <c r="AC39" s="17"/>
      <c r="AD39" s="17"/>
      <c r="AE39" s="17"/>
      <c r="AF39" s="17">
        <v>4.5833333331999411</v>
      </c>
      <c r="AG39" s="17">
        <v>0.12424526703283757</v>
      </c>
      <c r="AH39" s="17">
        <v>29.761181406502146</v>
      </c>
      <c r="AI39" s="17">
        <v>7.9083233626820144</v>
      </c>
      <c r="AJ39" s="17"/>
      <c r="AK39" s="17"/>
      <c r="AL39" s="17"/>
      <c r="AM39" s="17"/>
      <c r="AN39" s="17"/>
      <c r="AO39" s="17"/>
      <c r="AP39" s="26"/>
    </row>
    <row r="40" spans="1:42">
      <c r="A40" s="26"/>
      <c r="B40" s="26"/>
      <c r="C40" s="26"/>
      <c r="D40" s="26"/>
      <c r="E40" s="26"/>
      <c r="F40" s="26"/>
      <c r="G40" s="26"/>
      <c r="H40" s="26"/>
      <c r="I40" s="26"/>
      <c r="J40" s="26"/>
      <c r="K40" s="26"/>
      <c r="L40" s="26"/>
      <c r="M40" s="26"/>
      <c r="N40" s="26"/>
      <c r="O40" s="26"/>
      <c r="P40" s="26"/>
      <c r="Q40" s="26"/>
      <c r="R40" s="17">
        <v>18.705899156339001</v>
      </c>
      <c r="S40" s="17">
        <v>8.0265084671601663</v>
      </c>
      <c r="T40" s="17"/>
      <c r="U40" s="17"/>
      <c r="V40" s="17"/>
      <c r="W40" s="17"/>
      <c r="X40" s="17"/>
      <c r="Y40" s="17"/>
      <c r="Z40" s="17">
        <v>27.418202777334955</v>
      </c>
      <c r="AA40" s="17">
        <v>7.9825341033004227</v>
      </c>
      <c r="AB40" s="17"/>
      <c r="AC40" s="17"/>
      <c r="AD40" s="17"/>
      <c r="AE40" s="17"/>
      <c r="AF40" s="17">
        <v>4.7499999998617568</v>
      </c>
      <c r="AG40" s="17">
        <v>0.11970636424058759</v>
      </c>
      <c r="AH40" s="17">
        <v>29.849311058933381</v>
      </c>
      <c r="AI40" s="17">
        <v>8.1149909251295025</v>
      </c>
      <c r="AJ40" s="17"/>
      <c r="AK40" s="17"/>
      <c r="AL40" s="17"/>
      <c r="AM40" s="17"/>
      <c r="AN40" s="17"/>
      <c r="AO40" s="17"/>
      <c r="AP40" s="26"/>
    </row>
    <row r="41" spans="1:42">
      <c r="A41" s="26"/>
      <c r="B41" s="26"/>
      <c r="C41" s="26"/>
      <c r="D41" s="26"/>
      <c r="E41" s="26"/>
      <c r="F41" s="26"/>
      <c r="G41" s="26"/>
      <c r="H41" s="26"/>
      <c r="I41" s="26"/>
      <c r="J41" s="26"/>
      <c r="K41" s="26"/>
      <c r="L41" s="26"/>
      <c r="M41" s="26"/>
      <c r="N41" s="26"/>
      <c r="O41" s="26"/>
      <c r="P41" s="26"/>
      <c r="Q41" s="26"/>
      <c r="R41" s="17">
        <v>19.169210402469616</v>
      </c>
      <c r="S41" s="17">
        <v>8.2410110794939104</v>
      </c>
      <c r="T41" s="17"/>
      <c r="U41" s="17"/>
      <c r="V41" s="17"/>
      <c r="W41" s="17"/>
      <c r="X41" s="17"/>
      <c r="Y41" s="17"/>
      <c r="Z41" s="17">
        <v>28.288458079623524</v>
      </c>
      <c r="AA41" s="17">
        <v>8.2847767613641921</v>
      </c>
      <c r="AB41" s="17"/>
      <c r="AC41" s="17"/>
      <c r="AD41" s="17"/>
      <c r="AE41" s="17"/>
      <c r="AF41" s="17">
        <v>4.9166666665235734</v>
      </c>
      <c r="AG41" s="17">
        <v>0.11307784065521759</v>
      </c>
      <c r="AH41" s="17">
        <v>29.90638507908443</v>
      </c>
      <c r="AI41" s="17">
        <v>8.2506355920545751</v>
      </c>
      <c r="AJ41" s="17"/>
      <c r="AK41" s="17"/>
      <c r="AL41" s="17"/>
      <c r="AM41" s="17"/>
      <c r="AN41" s="17"/>
      <c r="AO41" s="17"/>
      <c r="AP41" s="26"/>
    </row>
    <row r="42" spans="1:42">
      <c r="A42" s="26"/>
      <c r="B42" s="26"/>
      <c r="C42" s="26"/>
      <c r="D42" s="26"/>
      <c r="E42" s="26"/>
      <c r="F42" s="26"/>
      <c r="G42" s="26"/>
      <c r="H42" s="26"/>
      <c r="I42" s="26"/>
      <c r="J42" s="26"/>
      <c r="K42" s="26"/>
      <c r="L42" s="26"/>
      <c r="M42" s="26"/>
      <c r="N42" s="26"/>
      <c r="O42" s="26"/>
      <c r="P42" s="26"/>
      <c r="Q42" s="26"/>
      <c r="R42" s="17">
        <v>19.477512511366513</v>
      </c>
      <c r="S42" s="17">
        <v>8.4555136918276546</v>
      </c>
      <c r="T42" s="17"/>
      <c r="U42" s="17"/>
      <c r="V42" s="17"/>
      <c r="W42" s="17"/>
      <c r="X42" s="17"/>
      <c r="Y42" s="17"/>
      <c r="Z42" s="17">
        <v>28.885414720571134</v>
      </c>
      <c r="AA42" s="17">
        <v>8.4060754944570366</v>
      </c>
      <c r="AB42" s="17"/>
      <c r="AC42" s="17"/>
      <c r="AD42" s="17"/>
      <c r="AE42" s="17"/>
      <c r="AF42" s="17">
        <v>5.0833333331853892</v>
      </c>
      <c r="AG42" s="17">
        <v>0.10435969627673301</v>
      </c>
      <c r="AH42" s="17">
        <v>29.94375132402638</v>
      </c>
      <c r="AI42" s="17">
        <v>8.5722924061678345</v>
      </c>
      <c r="AJ42" s="17"/>
      <c r="AK42" s="17"/>
      <c r="AL42" s="17"/>
      <c r="AM42" s="17"/>
      <c r="AN42" s="17"/>
      <c r="AO42" s="17"/>
      <c r="AP42" s="26"/>
    </row>
    <row r="43" spans="1:42" ht="15">
      <c r="A43" s="26"/>
      <c r="B43" s="168"/>
      <c r="C43" s="26"/>
      <c r="D43" s="26"/>
      <c r="E43" s="26"/>
      <c r="F43" s="26"/>
      <c r="G43" s="26"/>
      <c r="H43" s="26"/>
      <c r="I43" s="26"/>
      <c r="J43" s="26"/>
      <c r="K43" s="26"/>
      <c r="L43" s="26"/>
      <c r="M43" s="26"/>
      <c r="N43" s="26"/>
      <c r="O43" s="26"/>
      <c r="P43" s="26"/>
      <c r="Q43" s="26"/>
      <c r="R43" s="17">
        <v>19.67695818602806</v>
      </c>
      <c r="S43" s="17">
        <v>8.6700163041614005</v>
      </c>
      <c r="T43" s="17"/>
      <c r="U43" s="17"/>
      <c r="V43" s="17"/>
      <c r="W43" s="17"/>
      <c r="X43" s="17"/>
      <c r="Y43" s="17"/>
      <c r="Z43" s="17">
        <v>29.284366952197161</v>
      </c>
      <c r="AA43" s="17">
        <v>8.6294696083106093</v>
      </c>
      <c r="AB43" s="17"/>
      <c r="AC43" s="17"/>
      <c r="AD43" s="17"/>
      <c r="AE43" s="17"/>
      <c r="AF43" s="17">
        <v>5.2499999998472049</v>
      </c>
      <c r="AG43" s="17">
        <v>9.3551931105135558E-2</v>
      </c>
      <c r="AH43" s="17">
        <v>29.969121598696802</v>
      </c>
      <c r="AI43" s="17">
        <v>8.6735323605053125</v>
      </c>
      <c r="AJ43" s="17"/>
      <c r="AK43" s="17"/>
      <c r="AL43" s="17"/>
      <c r="AM43" s="17"/>
      <c r="AN43" s="17"/>
      <c r="AO43" s="17"/>
      <c r="AP43" s="26"/>
    </row>
    <row r="44" spans="1:42" ht="15">
      <c r="A44" s="26"/>
      <c r="B44" s="168"/>
      <c r="C44" s="26"/>
      <c r="D44" s="26"/>
      <c r="E44" s="26"/>
      <c r="F44" s="26"/>
      <c r="G44" s="26"/>
      <c r="H44" s="26"/>
      <c r="I44" s="26"/>
      <c r="J44" s="26"/>
      <c r="K44" s="26"/>
      <c r="L44" s="26"/>
      <c r="M44" s="26"/>
      <c r="N44" s="26"/>
      <c r="O44" s="26"/>
      <c r="P44" s="26"/>
      <c r="Q44" s="26"/>
      <c r="R44" s="17">
        <v>19.804373894294258</v>
      </c>
      <c r="S44" s="17">
        <v>8.8845189164951446</v>
      </c>
      <c r="T44" s="17"/>
      <c r="U44" s="17"/>
      <c r="V44" s="17"/>
      <c r="W44" s="17"/>
      <c r="X44" s="17"/>
      <c r="Y44" s="17"/>
      <c r="Z44" s="17">
        <v>29.547248141898308</v>
      </c>
      <c r="AA44" s="17">
        <v>8.7976750612445169</v>
      </c>
      <c r="AB44" s="17"/>
      <c r="AC44" s="17"/>
      <c r="AD44" s="17"/>
      <c r="AE44" s="17"/>
      <c r="AF44" s="17">
        <v>5.4166666665090215</v>
      </c>
      <c r="AG44" s="17">
        <v>8.0654545140418185E-2</v>
      </c>
      <c r="AH44" s="17">
        <v>29.987858388631139</v>
      </c>
      <c r="AI44" s="17">
        <v>8.949234131556004</v>
      </c>
      <c r="AJ44" s="17"/>
      <c r="AK44" s="17"/>
      <c r="AL44" s="17"/>
      <c r="AM44" s="17"/>
      <c r="AN44" s="17"/>
      <c r="AO44" s="17"/>
      <c r="AP44" s="26"/>
    </row>
    <row r="45" spans="1:42">
      <c r="A45" s="26"/>
      <c r="B45" s="26"/>
      <c r="C45" s="26"/>
      <c r="D45" s="26"/>
      <c r="E45" s="26"/>
      <c r="F45" s="26"/>
      <c r="G45" s="26"/>
      <c r="H45" s="26"/>
      <c r="I45" s="26"/>
      <c r="J45" s="26"/>
      <c r="K45" s="26"/>
      <c r="L45" s="26"/>
      <c r="M45" s="26"/>
      <c r="N45" s="26"/>
      <c r="O45" s="26"/>
      <c r="P45" s="26"/>
      <c r="Q45" s="26"/>
      <c r="R45" s="17">
        <v>19.886334486363921</v>
      </c>
      <c r="S45" s="17">
        <v>9.0990215288288887</v>
      </c>
      <c r="T45" s="17"/>
      <c r="U45" s="17"/>
      <c r="V45" s="17"/>
      <c r="W45" s="17"/>
      <c r="X45" s="17"/>
      <c r="Y45" s="17"/>
      <c r="Z45" s="17">
        <v>29.720264744537417</v>
      </c>
      <c r="AA45" s="17">
        <v>9.0960117106325917</v>
      </c>
      <c r="AB45" s="17"/>
      <c r="AC45" s="17"/>
      <c r="AD45" s="17"/>
      <c r="AE45" s="17"/>
      <c r="AF45" s="17">
        <v>5.5833333331708372</v>
      </c>
      <c r="AG45" s="17">
        <v>6.6383180814825402E-2</v>
      </c>
      <c r="AH45" s="17">
        <v>30.003981960180681</v>
      </c>
      <c r="AI45" s="17">
        <v>9.1845845668949195</v>
      </c>
      <c r="AJ45" s="17"/>
      <c r="AK45" s="17"/>
      <c r="AL45" s="17"/>
      <c r="AM45" s="17"/>
      <c r="AN45" s="17"/>
      <c r="AO45" s="17"/>
      <c r="AP45" s="26"/>
    </row>
    <row r="46" spans="1:42">
      <c r="A46" s="26"/>
      <c r="B46" s="26"/>
      <c r="C46" s="26"/>
      <c r="D46" s="26"/>
      <c r="E46" s="26"/>
      <c r="F46" s="26"/>
      <c r="G46" s="26"/>
      <c r="H46" s="26"/>
      <c r="I46" s="26"/>
      <c r="J46" s="26"/>
      <c r="K46" s="26"/>
      <c r="L46" s="26"/>
      <c r="M46" s="26"/>
      <c r="N46" s="26"/>
      <c r="O46" s="26"/>
      <c r="P46" s="26"/>
      <c r="Q46" s="26"/>
      <c r="R46" s="17">
        <v>19.94123642652994</v>
      </c>
      <c r="S46" s="17">
        <v>9.3135241411626346</v>
      </c>
      <c r="T46" s="17"/>
      <c r="U46" s="17"/>
      <c r="V46" s="17"/>
      <c r="W46" s="17"/>
      <c r="X46" s="17"/>
      <c r="Y46" s="17"/>
      <c r="Z46" s="17">
        <v>29.83625626511639</v>
      </c>
      <c r="AA46" s="17">
        <v>9.0847907523252065</v>
      </c>
      <c r="AB46" s="17"/>
      <c r="AC46" s="17"/>
      <c r="AD46" s="17"/>
      <c r="AE46" s="17"/>
      <c r="AF46" s="17">
        <v>5.749999999832653</v>
      </c>
      <c r="AG46" s="17">
        <v>5.6489011594033432E-2</v>
      </c>
      <c r="AH46" s="17">
        <v>30.020979327673558</v>
      </c>
      <c r="AI46" s="17">
        <v>9.2019186423607167</v>
      </c>
      <c r="AJ46" s="17"/>
      <c r="AK46" s="17"/>
      <c r="AL46" s="17"/>
      <c r="AM46" s="17"/>
      <c r="AN46" s="17"/>
      <c r="AO46" s="17"/>
      <c r="AP46" s="26"/>
    </row>
    <row r="47" spans="1:42">
      <c r="A47" s="26"/>
      <c r="B47" s="26"/>
      <c r="C47" s="26"/>
      <c r="D47" s="26"/>
      <c r="E47" s="26"/>
      <c r="F47" s="26"/>
      <c r="G47" s="26"/>
      <c r="H47" s="26"/>
      <c r="I47" s="26"/>
      <c r="J47" s="26"/>
      <c r="K47" s="26"/>
      <c r="L47" s="26"/>
      <c r="M47" s="26"/>
      <c r="N47" s="26"/>
      <c r="O47" s="26"/>
      <c r="P47" s="26"/>
      <c r="Q47" s="26"/>
      <c r="R47" s="17">
        <v>19.981976119743194</v>
      </c>
      <c r="S47" s="17">
        <v>9.5280267534963787</v>
      </c>
      <c r="T47" s="17"/>
      <c r="U47" s="17"/>
      <c r="V47" s="17"/>
      <c r="W47" s="17"/>
      <c r="X47" s="17"/>
      <c r="Y47" s="17"/>
      <c r="Z47" s="17">
        <v>29.918337061826605</v>
      </c>
      <c r="AA47" s="17">
        <v>9.400064428430051</v>
      </c>
      <c r="AB47" s="17"/>
      <c r="AC47" s="17"/>
      <c r="AD47" s="17"/>
      <c r="AE47" s="17"/>
      <c r="AF47" s="17">
        <v>5.9166666664944696</v>
      </c>
      <c r="AG47" s="17">
        <v>5.3742364051365801E-2</v>
      </c>
      <c r="AH47" s="17">
        <v>30.042530830542091</v>
      </c>
      <c r="AI47" s="17">
        <v>9.5545939252935348</v>
      </c>
      <c r="AJ47" s="17"/>
      <c r="AK47" s="17"/>
      <c r="AL47" s="17"/>
      <c r="AM47" s="17"/>
      <c r="AN47" s="17"/>
      <c r="AO47" s="17"/>
      <c r="AP47" s="26"/>
    </row>
    <row r="48" spans="1:42">
      <c r="A48" s="26"/>
      <c r="B48" s="26"/>
      <c r="C48" s="26"/>
      <c r="D48" s="26"/>
      <c r="E48" s="26"/>
      <c r="F48" s="26"/>
      <c r="G48" s="26"/>
      <c r="H48" s="26"/>
      <c r="I48" s="26"/>
      <c r="J48" s="26"/>
      <c r="K48" s="26"/>
      <c r="L48" s="26"/>
      <c r="M48" s="26"/>
      <c r="N48" s="26"/>
      <c r="O48" s="26"/>
      <c r="P48" s="26"/>
      <c r="Q48" s="26"/>
      <c r="R48" s="17">
        <v>20.018397706735414</v>
      </c>
      <c r="S48" s="17">
        <v>9.7425293658301229</v>
      </c>
      <c r="T48" s="17"/>
      <c r="U48" s="17"/>
      <c r="V48" s="17"/>
      <c r="W48" s="17"/>
      <c r="X48" s="17"/>
      <c r="Y48" s="17"/>
      <c r="Z48" s="17">
        <v>29.98338512115879</v>
      </c>
      <c r="AA48" s="17">
        <v>9.4506547726504504</v>
      </c>
      <c r="AB48" s="17"/>
      <c r="AC48" s="17"/>
      <c r="AD48" s="17"/>
      <c r="AE48" s="17"/>
      <c r="AF48" s="17">
        <v>6.0833333331562853</v>
      </c>
      <c r="AG48" s="17">
        <v>5.8161007983630407E-2</v>
      </c>
      <c r="AH48" s="17">
        <v>30.073280991928186</v>
      </c>
      <c r="AI48" s="17">
        <v>9.7397145399264993</v>
      </c>
      <c r="AJ48" s="17"/>
      <c r="AK48" s="17"/>
      <c r="AL48" s="17"/>
      <c r="AM48" s="17"/>
      <c r="AN48" s="17"/>
      <c r="AO48" s="17"/>
      <c r="AP48" s="26"/>
    </row>
    <row r="49" spans="1:42">
      <c r="A49" s="26"/>
      <c r="B49" s="26"/>
      <c r="C49" s="26"/>
      <c r="D49" s="26"/>
      <c r="E49" s="26"/>
      <c r="F49" s="26"/>
      <c r="G49" s="26"/>
      <c r="H49" s="26"/>
      <c r="I49" s="26"/>
      <c r="J49" s="26"/>
      <c r="K49" s="26"/>
      <c r="L49" s="26"/>
      <c r="M49" s="26"/>
      <c r="N49" s="26"/>
      <c r="O49" s="26"/>
      <c r="P49" s="26"/>
      <c r="Q49" s="26"/>
      <c r="R49" s="17">
        <v>20.059441142075229</v>
      </c>
      <c r="S49" s="17">
        <v>9.9570319781638688</v>
      </c>
      <c r="T49" s="17"/>
      <c r="U49" s="17"/>
      <c r="V49" s="17"/>
      <c r="W49" s="17"/>
      <c r="X49" s="17"/>
      <c r="Y49" s="17"/>
      <c r="Z49" s="17">
        <v>30.045040389813948</v>
      </c>
      <c r="AA49" s="17">
        <v>9.8117745951004327</v>
      </c>
      <c r="AB49" s="17"/>
      <c r="AC49" s="17"/>
      <c r="AD49" s="17"/>
      <c r="AE49" s="17"/>
      <c r="AF49" s="17">
        <v>6.2499999998181011</v>
      </c>
      <c r="AG49" s="17">
        <v>6.9744943390825528E-2</v>
      </c>
      <c r="AH49" s="17">
        <v>30.119792056211736</v>
      </c>
      <c r="AI49" s="17">
        <v>9.921328281220049</v>
      </c>
      <c r="AJ49" s="17"/>
      <c r="AK49" s="17"/>
      <c r="AL49" s="17"/>
      <c r="AM49" s="17"/>
      <c r="AN49" s="17"/>
      <c r="AO49" s="17"/>
      <c r="AP49" s="26"/>
    </row>
    <row r="50" spans="1:42">
      <c r="A50" s="26"/>
      <c r="B50" s="26"/>
      <c r="C50" s="26"/>
      <c r="D50" s="26"/>
      <c r="E50" s="26"/>
      <c r="F50" s="26"/>
      <c r="G50" s="26"/>
      <c r="H50" s="26"/>
      <c r="I50" s="26"/>
      <c r="J50" s="26"/>
      <c r="K50" s="26"/>
      <c r="L50" s="26"/>
      <c r="M50" s="26"/>
      <c r="N50" s="26"/>
      <c r="O50" s="26"/>
      <c r="P50" s="26"/>
      <c r="Q50" s="26"/>
      <c r="R50" s="17">
        <v>20.115236625133548</v>
      </c>
      <c r="S50" s="17">
        <v>10.171534590497613</v>
      </c>
      <c r="T50" s="17"/>
      <c r="U50" s="17"/>
      <c r="V50" s="17"/>
      <c r="W50" s="17"/>
      <c r="X50" s="17"/>
      <c r="Y50" s="17"/>
      <c r="Z50" s="17">
        <v>30.116360024840105</v>
      </c>
      <c r="AA50" s="17">
        <v>10.284517781157046</v>
      </c>
      <c r="AB50" s="17"/>
      <c r="AC50" s="17"/>
      <c r="AD50" s="17"/>
      <c r="AE50" s="17"/>
      <c r="AF50" s="17">
        <v>6.4166666664799177</v>
      </c>
      <c r="AG50" s="17">
        <v>8.8494170272958209E-2</v>
      </c>
      <c r="AH50" s="17">
        <v>30.191834959259722</v>
      </c>
      <c r="AI50" s="17">
        <v>10.118093901764601</v>
      </c>
      <c r="AJ50" s="17"/>
      <c r="AK50" s="17"/>
      <c r="AL50" s="17"/>
      <c r="AM50" s="17"/>
      <c r="AN50" s="17"/>
      <c r="AO50" s="17"/>
      <c r="AP50" s="26"/>
    </row>
    <row r="51" spans="1:42">
      <c r="A51" s="26"/>
      <c r="B51" s="26"/>
      <c r="C51" s="26"/>
      <c r="D51" s="26"/>
      <c r="E51" s="26"/>
      <c r="F51" s="26"/>
      <c r="G51" s="26"/>
      <c r="H51" s="26"/>
      <c r="I51" s="26"/>
      <c r="J51" s="26"/>
      <c r="K51" s="26"/>
      <c r="L51" s="26"/>
      <c r="M51" s="26"/>
      <c r="N51" s="26"/>
      <c r="O51" s="26"/>
      <c r="P51" s="26"/>
      <c r="Q51" s="26"/>
      <c r="R51" s="17">
        <v>20.199536230938975</v>
      </c>
      <c r="S51" s="17">
        <v>10.386037202831357</v>
      </c>
      <c r="T51" s="17"/>
      <c r="U51" s="17"/>
      <c r="V51" s="17"/>
      <c r="W51" s="17"/>
      <c r="X51" s="17"/>
      <c r="Y51" s="17"/>
      <c r="Z51" s="17">
        <v>30.212474045401905</v>
      </c>
      <c r="AA51" s="17">
        <v>10.294536398407072</v>
      </c>
      <c r="AB51" s="17"/>
      <c r="AC51" s="17"/>
      <c r="AD51" s="17"/>
      <c r="AE51" s="17"/>
      <c r="AF51" s="17">
        <v>6.5833333331417334</v>
      </c>
      <c r="AG51" s="17">
        <v>0.11440868863002017</v>
      </c>
      <c r="AH51" s="17">
        <v>30.304181580140721</v>
      </c>
      <c r="AI51" s="17">
        <v>10.340274881910533</v>
      </c>
      <c r="AJ51" s="17"/>
      <c r="AK51" s="17"/>
      <c r="AL51" s="17"/>
      <c r="AM51" s="17"/>
      <c r="AN51" s="17"/>
      <c r="AO51" s="17"/>
      <c r="AP51" s="26"/>
    </row>
    <row r="52" spans="1:42">
      <c r="A52" s="26"/>
      <c r="B52" s="26"/>
      <c r="C52" s="26"/>
      <c r="D52" s="26"/>
      <c r="E52" s="26"/>
      <c r="F52" s="26"/>
      <c r="G52" s="26"/>
      <c r="H52" s="26"/>
      <c r="I52" s="26"/>
      <c r="J52" s="26"/>
      <c r="K52" s="26"/>
      <c r="L52" s="26"/>
      <c r="M52" s="26"/>
      <c r="N52" s="26"/>
      <c r="O52" s="26"/>
      <c r="P52" s="26"/>
      <c r="Q52" s="26"/>
      <c r="R52" s="17">
        <v>20.332998641242739</v>
      </c>
      <c r="S52" s="17">
        <v>10.600539815165103</v>
      </c>
      <c r="T52" s="17"/>
      <c r="U52" s="17"/>
      <c r="V52" s="17"/>
      <c r="W52" s="17"/>
      <c r="X52" s="17"/>
      <c r="Y52" s="17"/>
      <c r="Z52" s="17">
        <v>30.353687058959622</v>
      </c>
      <c r="AA52" s="17">
        <v>10.521781745608896</v>
      </c>
      <c r="AB52" s="17"/>
      <c r="AC52" s="17"/>
      <c r="AD52" s="17"/>
      <c r="AE52" s="17"/>
      <c r="AF52" s="17">
        <v>6.7499999998035491</v>
      </c>
      <c r="AG52" s="17">
        <v>0.14713901459802403</v>
      </c>
      <c r="AH52" s="17">
        <v>30.479027204273734</v>
      </c>
      <c r="AI52" s="17">
        <v>10.526514122683555</v>
      </c>
      <c r="AJ52" s="17"/>
      <c r="AK52" s="17"/>
      <c r="AL52" s="17"/>
      <c r="AM52" s="17"/>
      <c r="AN52" s="17"/>
      <c r="AO52" s="17"/>
      <c r="AP52" s="26"/>
    </row>
    <row r="53" spans="1:42">
      <c r="A53" s="26"/>
      <c r="B53" s="26"/>
      <c r="C53" s="26"/>
      <c r="D53" s="26"/>
      <c r="E53" s="26"/>
      <c r="F53" s="26"/>
      <c r="G53" s="26"/>
      <c r="H53" s="26"/>
      <c r="I53" s="26"/>
      <c r="J53" s="26"/>
      <c r="K53" s="26"/>
      <c r="L53" s="26"/>
      <c r="M53" s="26"/>
      <c r="N53" s="26"/>
      <c r="O53" s="26"/>
      <c r="P53" s="26"/>
      <c r="Q53" s="26"/>
      <c r="R53" s="17">
        <v>20.548015915846918</v>
      </c>
      <c r="S53" s="17">
        <v>10.815042427498847</v>
      </c>
      <c r="T53" s="17"/>
      <c r="U53" s="17"/>
      <c r="V53" s="17"/>
      <c r="W53" s="17"/>
      <c r="X53" s="17"/>
      <c r="Y53" s="17"/>
      <c r="Z53" s="17">
        <v>30.569570830266457</v>
      </c>
      <c r="AA53" s="17">
        <v>10.627726228442043</v>
      </c>
      <c r="AB53" s="17"/>
      <c r="AC53" s="17"/>
      <c r="AD53" s="17"/>
      <c r="AE53" s="17"/>
      <c r="AF53" s="17">
        <v>6.9166666664653658</v>
      </c>
      <c r="AG53" s="17">
        <v>0.17961607063282339</v>
      </c>
      <c r="AH53" s="17">
        <v>30.749027973797638</v>
      </c>
      <c r="AI53" s="17">
        <v>10.716714065384119</v>
      </c>
      <c r="AJ53" s="17"/>
      <c r="AK53" s="17"/>
      <c r="AL53" s="17"/>
      <c r="AM53" s="17"/>
      <c r="AN53" s="17"/>
      <c r="AO53" s="17"/>
      <c r="AP53" s="26"/>
    </row>
    <row r="54" spans="1:42">
      <c r="A54" s="26"/>
      <c r="B54" s="26"/>
      <c r="C54" s="26"/>
      <c r="D54" s="26"/>
      <c r="E54" s="26"/>
      <c r="F54" s="26"/>
      <c r="G54" s="26"/>
      <c r="H54" s="26"/>
      <c r="I54" s="26"/>
      <c r="J54" s="26"/>
      <c r="K54" s="26"/>
      <c r="L54" s="26"/>
      <c r="M54" s="26"/>
      <c r="N54" s="26"/>
      <c r="O54" s="26"/>
      <c r="P54" s="26"/>
      <c r="Q54" s="26"/>
      <c r="R54" s="17">
        <v>20.896024066314567</v>
      </c>
      <c r="S54" s="17">
        <v>11.029545039832591</v>
      </c>
      <c r="T54" s="17"/>
      <c r="U54" s="17"/>
      <c r="V54" s="17"/>
      <c r="W54" s="17"/>
      <c r="X54" s="17"/>
      <c r="Y54" s="17"/>
      <c r="Z54" s="17">
        <v>30.904717471275944</v>
      </c>
      <c r="AA54" s="17">
        <v>10.915235111545771</v>
      </c>
      <c r="AB54" s="17"/>
      <c r="AC54" s="17"/>
      <c r="AD54" s="17"/>
      <c r="AE54" s="17"/>
      <c r="AF54" s="17">
        <v>7.0833333331271815</v>
      </c>
      <c r="AG54" s="17">
        <v>0.20527058548266508</v>
      </c>
      <c r="AH54" s="17">
        <v>31.160632845421787</v>
      </c>
      <c r="AI54" s="17">
        <v>10.92176637821272</v>
      </c>
      <c r="AJ54" s="17"/>
      <c r="AK54" s="17"/>
      <c r="AL54" s="17"/>
      <c r="AM54" s="17"/>
      <c r="AN54" s="17"/>
      <c r="AO54" s="17"/>
      <c r="AP54" s="26"/>
    </row>
    <row r="55" spans="1:42">
      <c r="A55" s="26"/>
      <c r="B55" s="26"/>
      <c r="C55" s="26"/>
      <c r="D55" s="26"/>
      <c r="E55" s="26"/>
      <c r="F55" s="26"/>
      <c r="G55" s="26"/>
      <c r="H55" s="26"/>
      <c r="I55" s="26"/>
      <c r="J55" s="26"/>
      <c r="K55" s="26"/>
      <c r="L55" s="26"/>
      <c r="M55" s="26"/>
      <c r="N55" s="26"/>
      <c r="O55" s="26"/>
      <c r="P55" s="26"/>
      <c r="Q55" s="26"/>
      <c r="R55" s="17">
        <v>21.458622148202267</v>
      </c>
      <c r="S55" s="17">
        <v>11.244047652166337</v>
      </c>
      <c r="T55" s="17"/>
      <c r="U55" s="17"/>
      <c r="V55" s="17"/>
      <c r="W55" s="17"/>
      <c r="X55" s="17"/>
      <c r="Y55" s="17"/>
      <c r="Z55" s="17">
        <v>31.426960798853543</v>
      </c>
      <c r="AA55" s="17">
        <v>11.084914463479072</v>
      </c>
      <c r="AB55" s="17"/>
      <c r="AC55" s="17"/>
      <c r="AD55" s="17"/>
      <c r="AE55" s="17"/>
      <c r="AF55" s="17">
        <v>7.2499999997889972</v>
      </c>
      <c r="AG55" s="17">
        <v>0.22385320506104614</v>
      </c>
      <c r="AH55" s="17">
        <v>31.777109763061162</v>
      </c>
      <c r="AI55" s="17">
        <v>11.123641830880194</v>
      </c>
      <c r="AJ55" s="17"/>
      <c r="AK55" s="17"/>
      <c r="AL55" s="17"/>
      <c r="AM55" s="17"/>
      <c r="AN55" s="17"/>
      <c r="AO55" s="17"/>
      <c r="AP55" s="26"/>
    </row>
    <row r="56" spans="1:42">
      <c r="A56" s="26"/>
      <c r="B56" s="26"/>
      <c r="C56" s="26"/>
      <c r="D56" s="26"/>
      <c r="E56" s="26"/>
      <c r="F56" s="26"/>
      <c r="G56" s="26"/>
      <c r="H56" s="26"/>
      <c r="I56" s="26"/>
      <c r="J56" s="26"/>
      <c r="K56" s="26"/>
      <c r="L56" s="26"/>
      <c r="M56" s="26"/>
      <c r="N56" s="26"/>
      <c r="O56" s="26"/>
      <c r="P56" s="26"/>
      <c r="Q56" s="26"/>
      <c r="R56" s="17">
        <v>22.364652594842482</v>
      </c>
      <c r="S56" s="17">
        <v>11.458550264500081</v>
      </c>
      <c r="T56" s="17"/>
      <c r="U56" s="17"/>
      <c r="V56" s="17"/>
      <c r="W56" s="17"/>
      <c r="X56" s="17"/>
      <c r="Y56" s="17"/>
      <c r="Z56" s="17">
        <v>32.239001510606613</v>
      </c>
      <c r="AA56" s="17">
        <v>11.226372458133847</v>
      </c>
      <c r="AB56" s="17"/>
      <c r="AC56" s="17"/>
      <c r="AD56" s="17"/>
      <c r="AE56" s="17"/>
      <c r="AF56" s="17">
        <v>7.4166666664508138</v>
      </c>
      <c r="AG56" s="17">
        <v>0.23536392936796602</v>
      </c>
      <c r="AH56" s="17">
        <v>32.681422297901008</v>
      </c>
      <c r="AI56" s="17">
        <v>11.335130838844925</v>
      </c>
      <c r="AJ56" s="17"/>
      <c r="AK56" s="17"/>
      <c r="AL56" s="17"/>
      <c r="AM56" s="17"/>
      <c r="AN56" s="17"/>
      <c r="AO56" s="17"/>
      <c r="AP56" s="26"/>
    </row>
    <row r="57" spans="1:42">
      <c r="A57" s="26"/>
      <c r="B57" s="26"/>
      <c r="C57" s="26"/>
      <c r="D57" s="26"/>
      <c r="E57" s="26"/>
      <c r="F57" s="26"/>
      <c r="G57" s="26"/>
      <c r="H57" s="26"/>
      <c r="I57" s="26"/>
      <c r="J57" s="26"/>
      <c r="K57" s="26"/>
      <c r="L57" s="26"/>
      <c r="M57" s="26"/>
      <c r="N57" s="26"/>
      <c r="O57" s="26"/>
      <c r="P57" s="26"/>
      <c r="Q57" s="26"/>
      <c r="R57" s="17">
        <v>23.818284484150354</v>
      </c>
      <c r="S57" s="17">
        <v>11.673052876833827</v>
      </c>
      <c r="T57" s="17"/>
      <c r="U57" s="17"/>
      <c r="V57" s="17"/>
      <c r="W57" s="17"/>
      <c r="X57" s="17"/>
      <c r="Y57" s="17"/>
      <c r="Z57" s="17">
        <v>33.494635509850923</v>
      </c>
      <c r="AA57" s="17">
        <v>11.385016548875718</v>
      </c>
      <c r="AB57" s="17"/>
      <c r="AC57" s="17"/>
      <c r="AD57" s="17"/>
      <c r="AE57" s="17"/>
      <c r="AF57" s="17">
        <v>7.5833333331126296</v>
      </c>
      <c r="AG57" s="17">
        <v>0.23980276563769901</v>
      </c>
      <c r="AH57" s="17">
        <v>33.983392054506112</v>
      </c>
      <c r="AI57" s="17">
        <v>11.515661543425173</v>
      </c>
      <c r="AJ57" s="17"/>
      <c r="AK57" s="17"/>
      <c r="AL57" s="17"/>
      <c r="AM57" s="17"/>
      <c r="AN57" s="17"/>
      <c r="AO57" s="17"/>
      <c r="AP57" s="26"/>
    </row>
    <row r="58" spans="1:42">
      <c r="A58" s="26"/>
      <c r="B58" s="26"/>
      <c r="C58" s="26"/>
      <c r="D58" s="26"/>
      <c r="E58" s="26"/>
      <c r="F58" s="26"/>
      <c r="G58" s="26"/>
      <c r="H58" s="26"/>
      <c r="I58" s="26"/>
      <c r="J58" s="26"/>
      <c r="K58" s="26"/>
      <c r="L58" s="26"/>
      <c r="M58" s="26"/>
      <c r="N58" s="26"/>
      <c r="O58" s="26"/>
      <c r="P58" s="26"/>
      <c r="Q58" s="26"/>
      <c r="R58" s="17">
        <v>26.154666273214389</v>
      </c>
      <c r="S58" s="17">
        <v>11.887555489167571</v>
      </c>
      <c r="T58" s="17"/>
      <c r="U58" s="17"/>
      <c r="V58" s="17"/>
      <c r="W58" s="17"/>
      <c r="X58" s="17"/>
      <c r="Y58" s="17"/>
      <c r="Z58" s="17">
        <v>35.422255621233489</v>
      </c>
      <c r="AA58" s="17">
        <v>11.676670697722583</v>
      </c>
      <c r="AB58" s="17"/>
      <c r="AC58" s="17"/>
      <c r="AD58" s="17"/>
      <c r="AE58" s="17"/>
      <c r="AF58" s="17">
        <v>7.7499999997744453</v>
      </c>
      <c r="AG58" s="17">
        <v>0.23872972225780059</v>
      </c>
      <c r="AH58" s="17">
        <v>35.846407026110683</v>
      </c>
      <c r="AI58" s="17">
        <v>11.742123357553035</v>
      </c>
      <c r="AJ58" s="17"/>
      <c r="AK58" s="17"/>
      <c r="AL58" s="17"/>
      <c r="AM58" s="17"/>
      <c r="AN58" s="17"/>
      <c r="AO58" s="17"/>
      <c r="AP58" s="26"/>
    </row>
    <row r="59" spans="1:42">
      <c r="A59" s="26"/>
      <c r="B59" s="26"/>
      <c r="C59" s="26"/>
      <c r="D59" s="26"/>
      <c r="E59" s="26"/>
      <c r="F59" s="26"/>
      <c r="G59" s="26"/>
      <c r="H59" s="26"/>
      <c r="I59" s="26"/>
      <c r="J59" s="26"/>
      <c r="K59" s="26"/>
      <c r="L59" s="26"/>
      <c r="M59" s="26"/>
      <c r="N59" s="26"/>
      <c r="O59" s="26"/>
      <c r="P59" s="26"/>
      <c r="Q59" s="26"/>
      <c r="R59" s="17">
        <v>29.98321672930615</v>
      </c>
      <c r="S59" s="17">
        <v>12.102058101501315</v>
      </c>
      <c r="T59" s="17"/>
      <c r="U59" s="17"/>
      <c r="V59" s="17"/>
      <c r="W59" s="17"/>
      <c r="X59" s="17"/>
      <c r="Y59" s="17"/>
      <c r="Z59" s="17">
        <v>38.365417947352398</v>
      </c>
      <c r="AA59" s="17">
        <v>11.805349126476795</v>
      </c>
      <c r="AB59" s="17"/>
      <c r="AC59" s="17"/>
      <c r="AD59" s="17"/>
      <c r="AE59" s="17"/>
      <c r="AF59" s="17">
        <v>7.9166666664362619</v>
      </c>
      <c r="AG59" s="17">
        <v>0.23807540927711532</v>
      </c>
      <c r="AH59" s="17">
        <v>38.567444209184032</v>
      </c>
      <c r="AI59" s="17">
        <v>11.919127186704428</v>
      </c>
      <c r="AJ59" s="17"/>
      <c r="AK59" s="17"/>
      <c r="AL59" s="17"/>
      <c r="AM59" s="17"/>
      <c r="AN59" s="17"/>
      <c r="AO59" s="17"/>
      <c r="AP59" s="26"/>
    </row>
    <row r="60" spans="1:42">
      <c r="A60" s="26"/>
      <c r="B60" s="26"/>
      <c r="C60" s="26"/>
      <c r="D60" s="26"/>
      <c r="E60" s="26"/>
      <c r="F60" s="26"/>
      <c r="G60" s="26"/>
      <c r="H60" s="26"/>
      <c r="I60" s="26"/>
      <c r="J60" s="26"/>
      <c r="K60" s="26"/>
      <c r="L60" s="26"/>
      <c r="M60" s="26"/>
      <c r="N60" s="26"/>
      <c r="O60" s="26"/>
      <c r="P60" s="26"/>
      <c r="Q60" s="26"/>
      <c r="R60" s="17">
        <v>36.643806887150276</v>
      </c>
      <c r="S60" s="17">
        <v>12.316560713835061</v>
      </c>
      <c r="T60" s="17"/>
      <c r="U60" s="17"/>
      <c r="V60" s="17"/>
      <c r="W60" s="17"/>
      <c r="X60" s="17"/>
      <c r="Y60" s="17"/>
      <c r="Z60" s="17">
        <v>42.877503424824681</v>
      </c>
      <c r="AA60" s="17">
        <v>12.00734264222905</v>
      </c>
      <c r="AB60" s="17"/>
      <c r="AC60" s="17"/>
      <c r="AD60" s="17"/>
      <c r="AE60" s="17"/>
      <c r="AF60" s="17">
        <v>8.0833333330980786</v>
      </c>
      <c r="AG60" s="17">
        <v>0.23924892280178311</v>
      </c>
      <c r="AH60" s="17">
        <v>42.780707859492395</v>
      </c>
      <c r="AI60" s="17">
        <v>12.134579030226917</v>
      </c>
      <c r="AJ60" s="17"/>
      <c r="AK60" s="17"/>
      <c r="AL60" s="17"/>
      <c r="AM60" s="17"/>
      <c r="AN60" s="17"/>
      <c r="AO60" s="17"/>
      <c r="AP60" s="26"/>
    </row>
    <row r="61" spans="1:42">
      <c r="A61" s="26"/>
      <c r="B61" s="26"/>
      <c r="C61" s="26"/>
      <c r="D61" s="26"/>
      <c r="E61" s="26"/>
      <c r="F61" s="26"/>
      <c r="G61" s="26"/>
      <c r="H61" s="26"/>
      <c r="I61" s="26"/>
      <c r="J61" s="26"/>
      <c r="K61" s="26"/>
      <c r="L61" s="26"/>
      <c r="M61" s="26"/>
      <c r="N61" s="26"/>
      <c r="O61" s="26"/>
      <c r="P61" s="26"/>
      <c r="Q61" s="26"/>
      <c r="R61" s="17">
        <v>49.999999998544808</v>
      </c>
      <c r="S61" s="17">
        <v>12.531063326168805</v>
      </c>
      <c r="T61" s="17"/>
      <c r="U61" s="17"/>
      <c r="V61" s="17"/>
      <c r="W61" s="17"/>
      <c r="X61" s="17"/>
      <c r="Y61" s="17"/>
      <c r="Z61" s="17">
        <v>49.999999995634425</v>
      </c>
      <c r="AA61" s="17">
        <v>12.223539364431053</v>
      </c>
      <c r="AB61" s="17"/>
      <c r="AC61" s="17"/>
      <c r="AD61" s="17"/>
      <c r="AE61" s="17"/>
      <c r="AF61" s="17">
        <v>8.2499999997598934</v>
      </c>
      <c r="AG61" s="17">
        <v>0.24225026283179582</v>
      </c>
      <c r="AH61" s="17">
        <v>49.999999983992893</v>
      </c>
      <c r="AI61" s="17">
        <v>12.329984020184726</v>
      </c>
      <c r="AJ61" s="17"/>
      <c r="AK61" s="17"/>
      <c r="AL61" s="17"/>
      <c r="AM61" s="17"/>
      <c r="AN61" s="17"/>
      <c r="AO61" s="17"/>
      <c r="AP61" s="26"/>
    </row>
    <row r="62" spans="1:42">
      <c r="A62" s="26"/>
      <c r="B62" s="26"/>
      <c r="C62" s="26"/>
      <c r="D62" s="26"/>
      <c r="E62" s="26"/>
      <c r="F62" s="26"/>
      <c r="G62" s="26"/>
      <c r="H62" s="26"/>
      <c r="I62" s="26"/>
      <c r="J62" s="26"/>
      <c r="K62" s="26"/>
      <c r="L62" s="26"/>
      <c r="M62" s="26"/>
      <c r="N62" s="26"/>
      <c r="O62" s="26"/>
      <c r="P62" s="26"/>
      <c r="Q62" s="26"/>
      <c r="R62" s="17"/>
      <c r="S62" s="17"/>
      <c r="T62" s="17"/>
      <c r="U62" s="17"/>
      <c r="V62" s="17"/>
      <c r="W62" s="17"/>
      <c r="X62" s="17"/>
      <c r="Y62" s="17"/>
      <c r="Z62" s="17"/>
      <c r="AA62" s="17"/>
      <c r="AB62" s="17"/>
      <c r="AC62" s="17"/>
      <c r="AD62" s="17"/>
      <c r="AE62" s="17"/>
      <c r="AF62" s="17">
        <v>8.41666666642171</v>
      </c>
      <c r="AG62" s="17">
        <v>0.25085949384274658</v>
      </c>
      <c r="AH62" s="17"/>
      <c r="AI62" s="17"/>
      <c r="AJ62" s="17"/>
      <c r="AK62" s="17"/>
      <c r="AL62" s="17"/>
      <c r="AM62" s="17"/>
      <c r="AN62" s="17"/>
      <c r="AO62" s="17"/>
      <c r="AP62" s="26"/>
    </row>
    <row r="63" spans="1:42">
      <c r="A63" s="26"/>
      <c r="B63" s="26"/>
      <c r="C63" s="26"/>
      <c r="D63" s="26"/>
      <c r="E63" s="26"/>
      <c r="F63" s="26"/>
      <c r="G63" s="26"/>
      <c r="H63" s="26"/>
      <c r="I63" s="26"/>
      <c r="J63" s="26"/>
      <c r="K63" s="26"/>
      <c r="L63" s="26"/>
      <c r="M63" s="26"/>
      <c r="N63" s="26"/>
      <c r="O63" s="26"/>
      <c r="P63" s="26"/>
      <c r="Q63" s="26"/>
      <c r="R63" s="17"/>
      <c r="S63" s="17"/>
      <c r="T63" s="17"/>
      <c r="U63" s="17"/>
      <c r="V63" s="17"/>
      <c r="W63" s="17"/>
      <c r="X63" s="17"/>
      <c r="Y63" s="17"/>
      <c r="Z63" s="17"/>
      <c r="AA63" s="17"/>
      <c r="AB63" s="17"/>
      <c r="AC63" s="17"/>
      <c r="AD63" s="17"/>
      <c r="AE63" s="17"/>
      <c r="AF63" s="17">
        <v>8.5833333330835266</v>
      </c>
      <c r="AG63" s="17">
        <v>0.28335115751715606</v>
      </c>
      <c r="AH63" s="17"/>
      <c r="AI63" s="17"/>
      <c r="AJ63" s="17"/>
      <c r="AK63" s="17"/>
      <c r="AL63" s="17"/>
      <c r="AM63" s="17"/>
      <c r="AN63" s="17"/>
      <c r="AO63" s="17"/>
      <c r="AP63" s="26"/>
    </row>
    <row r="64" spans="1:42">
      <c r="A64" s="26"/>
      <c r="B64" s="26"/>
      <c r="C64" s="26"/>
      <c r="D64" s="26"/>
      <c r="E64" s="26"/>
      <c r="F64" s="26"/>
      <c r="G64" s="26"/>
      <c r="H64" s="26"/>
      <c r="I64" s="26"/>
      <c r="J64" s="26"/>
      <c r="K64" s="26"/>
      <c r="L64" s="26"/>
      <c r="M64" s="26"/>
      <c r="N64" s="26"/>
      <c r="O64" s="26"/>
      <c r="P64" s="26"/>
      <c r="Q64" s="26"/>
      <c r="R64" s="17"/>
      <c r="S64" s="17"/>
      <c r="T64" s="17"/>
      <c r="U64" s="17"/>
      <c r="V64" s="17"/>
      <c r="W64" s="17"/>
      <c r="X64" s="17"/>
      <c r="Y64" s="17"/>
      <c r="Z64" s="17"/>
      <c r="AA64" s="17"/>
      <c r="AB64" s="17"/>
      <c r="AC64" s="17"/>
      <c r="AD64" s="17"/>
      <c r="AE64" s="17"/>
      <c r="AF64" s="17">
        <v>8.7499999997453415</v>
      </c>
      <c r="AG64" s="17">
        <v>0.34524034906209472</v>
      </c>
      <c r="AH64" s="17"/>
      <c r="AI64" s="17"/>
      <c r="AJ64" s="17"/>
      <c r="AK64" s="17"/>
      <c r="AL64" s="17"/>
      <c r="AM64" s="17"/>
      <c r="AN64" s="17"/>
      <c r="AO64" s="17"/>
      <c r="AP64" s="26"/>
    </row>
    <row r="65" spans="1:42">
      <c r="A65" s="26"/>
      <c r="B65" s="26"/>
      <c r="C65" s="26"/>
      <c r="D65" s="26"/>
      <c r="E65" s="26"/>
      <c r="F65" s="26"/>
      <c r="G65" s="26"/>
      <c r="H65" s="26"/>
      <c r="I65" s="26"/>
      <c r="J65" s="26"/>
      <c r="K65" s="26"/>
      <c r="L65" s="26"/>
      <c r="M65" s="26"/>
      <c r="N65" s="26"/>
      <c r="O65" s="26"/>
      <c r="P65" s="26"/>
      <c r="Q65" s="26"/>
      <c r="R65" s="17"/>
      <c r="S65" s="17"/>
      <c r="T65" s="17"/>
      <c r="U65" s="17"/>
      <c r="V65" s="17"/>
      <c r="W65" s="17"/>
      <c r="X65" s="17"/>
      <c r="Y65" s="17"/>
      <c r="Z65" s="17"/>
      <c r="AA65" s="17"/>
      <c r="AB65" s="17"/>
      <c r="AC65" s="17"/>
      <c r="AD65" s="17"/>
      <c r="AE65" s="17"/>
      <c r="AF65" s="17">
        <v>8.9166666664071581</v>
      </c>
      <c r="AG65" s="17">
        <v>0.43696208669566772</v>
      </c>
      <c r="AH65" s="17"/>
      <c r="AI65" s="17"/>
      <c r="AJ65" s="17"/>
      <c r="AK65" s="17"/>
      <c r="AL65" s="17"/>
      <c r="AM65" s="17"/>
      <c r="AN65" s="17"/>
      <c r="AO65" s="17"/>
      <c r="AP65" s="26"/>
    </row>
    <row r="66" spans="1:42">
      <c r="A66" s="26"/>
      <c r="B66" s="26"/>
      <c r="C66" s="26"/>
      <c r="D66" s="26"/>
      <c r="E66" s="26"/>
      <c r="F66" s="26"/>
      <c r="G66" s="26"/>
      <c r="H66" s="26"/>
      <c r="I66" s="26"/>
      <c r="J66" s="26"/>
      <c r="K66" s="26"/>
      <c r="L66" s="26"/>
      <c r="M66" s="26"/>
      <c r="N66" s="26"/>
      <c r="O66" s="26"/>
      <c r="P66" s="26"/>
      <c r="Q66" s="26"/>
      <c r="R66" s="17"/>
      <c r="S66" s="17"/>
      <c r="T66" s="17"/>
      <c r="U66" s="17"/>
      <c r="V66" s="17"/>
      <c r="W66" s="17"/>
      <c r="X66" s="17"/>
      <c r="Y66" s="17"/>
      <c r="Z66" s="17"/>
      <c r="AA66" s="17"/>
      <c r="AB66" s="17"/>
      <c r="AC66" s="17"/>
      <c r="AD66" s="17"/>
      <c r="AE66" s="17"/>
      <c r="AF66" s="17">
        <v>9.0833333330689747</v>
      </c>
      <c r="AG66" s="17">
        <v>0.56038589002170758</v>
      </c>
      <c r="AH66" s="17"/>
      <c r="AI66" s="17"/>
      <c r="AJ66" s="17"/>
      <c r="AK66" s="17"/>
      <c r="AL66" s="17"/>
      <c r="AM66" s="17"/>
      <c r="AN66" s="17"/>
      <c r="AO66" s="17"/>
      <c r="AP66" s="26"/>
    </row>
    <row r="67" spans="1:42">
      <c r="A67" s="26"/>
      <c r="B67" s="26"/>
      <c r="C67" s="26"/>
      <c r="D67" s="26"/>
      <c r="E67" s="26"/>
      <c r="F67" s="26"/>
      <c r="G67" s="26"/>
      <c r="H67" s="26"/>
      <c r="I67" s="26"/>
      <c r="J67" s="26"/>
      <c r="K67" s="26"/>
      <c r="L67" s="26"/>
      <c r="M67" s="26"/>
      <c r="N67" s="26"/>
      <c r="O67" s="26"/>
      <c r="P67" s="26"/>
      <c r="Q67" s="26"/>
      <c r="R67" s="17"/>
      <c r="S67" s="17"/>
      <c r="T67" s="17"/>
      <c r="U67" s="17"/>
      <c r="V67" s="17"/>
      <c r="W67" s="17"/>
      <c r="X67" s="17"/>
      <c r="Y67" s="17"/>
      <c r="Z67" s="17"/>
      <c r="AA67" s="17"/>
      <c r="AB67" s="17"/>
      <c r="AC67" s="17"/>
      <c r="AD67" s="17"/>
      <c r="AE67" s="17"/>
      <c r="AF67" s="17">
        <v>9.2499999997307896</v>
      </c>
      <c r="AG67" s="17">
        <v>0.72114643316214411</v>
      </c>
      <c r="AH67" s="17"/>
      <c r="AI67" s="17"/>
      <c r="AJ67" s="17"/>
      <c r="AK67" s="17"/>
      <c r="AL67" s="17"/>
      <c r="AM67" s="17"/>
      <c r="AN67" s="17"/>
      <c r="AO67" s="17"/>
      <c r="AP67" s="26"/>
    </row>
    <row r="68" spans="1:42">
      <c r="A68" s="26"/>
      <c r="B68" s="26"/>
      <c r="C68" s="26"/>
      <c r="D68" s="26"/>
      <c r="E68" s="26"/>
      <c r="F68" s="26"/>
      <c r="G68" s="26"/>
      <c r="H68" s="26"/>
      <c r="I68" s="26"/>
      <c r="J68" s="26"/>
      <c r="K68" s="26"/>
      <c r="L68" s="26"/>
      <c r="M68" s="26"/>
      <c r="N68" s="26"/>
      <c r="O68" s="26"/>
      <c r="P68" s="26"/>
      <c r="Q68" s="26"/>
      <c r="R68" s="17"/>
      <c r="S68" s="17"/>
      <c r="T68" s="17"/>
      <c r="U68" s="17"/>
      <c r="V68" s="17"/>
      <c r="W68" s="17"/>
      <c r="X68" s="17"/>
      <c r="Y68" s="17"/>
      <c r="Z68" s="17"/>
      <c r="AA68" s="17"/>
      <c r="AB68" s="17"/>
      <c r="AC68" s="17"/>
      <c r="AD68" s="17"/>
      <c r="AE68" s="17"/>
      <c r="AF68" s="17">
        <v>9.4166666663926062</v>
      </c>
      <c r="AG68" s="17">
        <v>0.95100934137571635</v>
      </c>
      <c r="AH68" s="17"/>
      <c r="AI68" s="17"/>
      <c r="AJ68" s="17"/>
      <c r="AK68" s="17"/>
      <c r="AL68" s="17"/>
      <c r="AM68" s="17"/>
      <c r="AN68" s="17"/>
      <c r="AO68" s="17"/>
      <c r="AP68" s="26"/>
    </row>
    <row r="69" spans="1:42">
      <c r="A69" s="26"/>
      <c r="B69" s="26"/>
      <c r="C69" s="26"/>
      <c r="D69" s="26"/>
      <c r="E69" s="26"/>
      <c r="F69" s="26"/>
      <c r="G69" s="26"/>
      <c r="H69" s="26"/>
      <c r="I69" s="26"/>
      <c r="J69" s="26"/>
      <c r="K69" s="26"/>
      <c r="L69" s="26"/>
      <c r="M69" s="26"/>
      <c r="N69" s="26"/>
      <c r="O69" s="26"/>
      <c r="P69" s="26"/>
      <c r="Q69" s="26"/>
      <c r="R69" s="17"/>
      <c r="S69" s="17"/>
      <c r="T69" s="17"/>
      <c r="U69" s="17"/>
      <c r="V69" s="17"/>
      <c r="W69" s="17"/>
      <c r="X69" s="17"/>
      <c r="Y69" s="17"/>
      <c r="Z69" s="17"/>
      <c r="AA69" s="17"/>
      <c r="AB69" s="17"/>
      <c r="AC69" s="17"/>
      <c r="AD69" s="17"/>
      <c r="AE69" s="17"/>
      <c r="AF69" s="17">
        <v>9.5833333330544228</v>
      </c>
      <c r="AG69" s="17">
        <v>1.246424131828946</v>
      </c>
      <c r="AH69" s="17"/>
      <c r="AI69" s="17"/>
      <c r="AJ69" s="17"/>
      <c r="AK69" s="17"/>
      <c r="AL69" s="17"/>
      <c r="AM69" s="17"/>
      <c r="AN69" s="17"/>
      <c r="AO69" s="17"/>
      <c r="AP69" s="26"/>
    </row>
    <row r="70" spans="1:42">
      <c r="A70" s="26"/>
      <c r="B70" s="26"/>
      <c r="C70" s="26"/>
      <c r="D70" s="26"/>
      <c r="E70" s="26"/>
      <c r="F70" s="26"/>
      <c r="G70" s="26"/>
      <c r="H70" s="26"/>
      <c r="I70" s="26"/>
      <c r="J70" s="26"/>
      <c r="K70" s="26"/>
      <c r="L70" s="26"/>
      <c r="M70" s="26"/>
      <c r="N70" s="26"/>
      <c r="O70" s="26"/>
      <c r="P70" s="26"/>
      <c r="Q70" s="26"/>
      <c r="R70" s="17"/>
      <c r="S70" s="17"/>
      <c r="T70" s="17"/>
      <c r="U70" s="17"/>
      <c r="V70" s="17"/>
      <c r="W70" s="17"/>
      <c r="X70" s="17"/>
      <c r="Y70" s="17"/>
      <c r="Z70" s="17"/>
      <c r="AA70" s="17"/>
      <c r="AB70" s="17"/>
      <c r="AC70" s="17"/>
      <c r="AD70" s="17"/>
      <c r="AE70" s="17"/>
      <c r="AF70" s="17">
        <v>9.7499999997162377</v>
      </c>
      <c r="AG70" s="17">
        <v>1.5486455334315925</v>
      </c>
      <c r="AH70" s="17"/>
      <c r="AI70" s="17"/>
      <c r="AJ70" s="17"/>
      <c r="AK70" s="17"/>
      <c r="AL70" s="17"/>
      <c r="AM70" s="17"/>
      <c r="AN70" s="17"/>
      <c r="AO70" s="17"/>
      <c r="AP70" s="26"/>
    </row>
    <row r="71" spans="1:42">
      <c r="A71" s="26"/>
      <c r="B71" s="26"/>
      <c r="C71" s="26"/>
      <c r="D71" s="26"/>
      <c r="E71" s="26"/>
      <c r="F71" s="26"/>
      <c r="G71" s="26"/>
      <c r="H71" s="26"/>
      <c r="I71" s="26"/>
      <c r="J71" s="26"/>
      <c r="K71" s="26"/>
      <c r="L71" s="26"/>
      <c r="M71" s="26"/>
      <c r="N71" s="26"/>
      <c r="O71" s="26"/>
      <c r="P71" s="26"/>
      <c r="Q71" s="26"/>
      <c r="R71" s="17"/>
      <c r="S71" s="17"/>
      <c r="T71" s="17"/>
      <c r="U71" s="17"/>
      <c r="V71" s="17"/>
      <c r="W71" s="17"/>
      <c r="X71" s="17"/>
      <c r="Y71" s="17"/>
      <c r="Z71" s="17"/>
      <c r="AA71" s="17"/>
      <c r="AB71" s="17"/>
      <c r="AC71" s="17"/>
      <c r="AD71" s="17"/>
      <c r="AE71" s="17"/>
      <c r="AF71" s="17">
        <v>9.9166666663780543</v>
      </c>
      <c r="AG71" s="17">
        <v>1.7506346122620176</v>
      </c>
      <c r="AH71" s="17"/>
      <c r="AI71" s="17"/>
      <c r="AJ71" s="17"/>
      <c r="AK71" s="17"/>
      <c r="AL71" s="17"/>
      <c r="AM71" s="17"/>
      <c r="AN71" s="17"/>
      <c r="AO71" s="17"/>
      <c r="AP71" s="26"/>
    </row>
    <row r="72" spans="1:42">
      <c r="A72" s="26"/>
      <c r="B72" s="26"/>
      <c r="C72" s="26"/>
      <c r="D72" s="26"/>
      <c r="E72" s="26"/>
      <c r="F72" s="26"/>
      <c r="G72" s="26"/>
      <c r="H72" s="26"/>
      <c r="I72" s="26"/>
      <c r="J72" s="26"/>
      <c r="K72" s="26"/>
      <c r="L72" s="26"/>
      <c r="M72" s="26"/>
      <c r="N72" s="26"/>
      <c r="O72" s="26"/>
      <c r="P72" s="26"/>
      <c r="Q72" s="26"/>
      <c r="R72" s="17"/>
      <c r="S72" s="17"/>
      <c r="T72" s="17"/>
      <c r="U72" s="17"/>
      <c r="V72" s="17"/>
      <c r="W72" s="17"/>
      <c r="X72" s="17"/>
      <c r="Y72" s="17"/>
      <c r="Z72" s="17"/>
      <c r="AA72" s="17"/>
      <c r="AB72" s="17"/>
      <c r="AC72" s="17"/>
      <c r="AD72" s="17"/>
      <c r="AE72" s="17"/>
      <c r="AF72" s="17">
        <v>10.083333333039871</v>
      </c>
      <c r="AG72" s="17">
        <v>1.7955246252311583</v>
      </c>
      <c r="AH72" s="17"/>
      <c r="AI72" s="17"/>
      <c r="AJ72" s="17"/>
      <c r="AK72" s="17"/>
      <c r="AL72" s="17"/>
      <c r="AM72" s="17"/>
      <c r="AN72" s="17"/>
      <c r="AO72" s="17"/>
      <c r="AP72" s="26"/>
    </row>
    <row r="73" spans="1:42">
      <c r="A73" s="26"/>
      <c r="B73" s="26"/>
      <c r="C73" s="26"/>
      <c r="D73" s="26"/>
      <c r="E73" s="26"/>
      <c r="F73" s="26"/>
      <c r="G73" s="26"/>
      <c r="H73" s="26"/>
      <c r="I73" s="26"/>
      <c r="J73" s="26"/>
      <c r="K73" s="26"/>
      <c r="L73" s="26"/>
      <c r="M73" s="26"/>
      <c r="N73" s="26"/>
      <c r="O73" s="26"/>
      <c r="P73" s="26"/>
      <c r="Q73" s="26"/>
      <c r="R73" s="17"/>
      <c r="S73" s="17"/>
      <c r="T73" s="17"/>
      <c r="U73" s="17"/>
      <c r="V73" s="17"/>
      <c r="W73" s="17"/>
      <c r="X73" s="17"/>
      <c r="Y73" s="17"/>
      <c r="Z73" s="17"/>
      <c r="AA73" s="17"/>
      <c r="AB73" s="17"/>
      <c r="AC73" s="17"/>
      <c r="AD73" s="17"/>
      <c r="AE73" s="17"/>
      <c r="AF73" s="17">
        <v>10.249999999701686</v>
      </c>
      <c r="AG73" s="17">
        <v>1.5677472600540125</v>
      </c>
      <c r="AH73" s="17"/>
      <c r="AI73" s="17"/>
      <c r="AJ73" s="17"/>
      <c r="AK73" s="17"/>
      <c r="AL73" s="17"/>
      <c r="AM73" s="17"/>
      <c r="AN73" s="17"/>
      <c r="AO73" s="17"/>
      <c r="AP73" s="26"/>
    </row>
    <row r="74" spans="1:42">
      <c r="A74" s="26"/>
      <c r="B74" s="26"/>
      <c r="C74" s="26"/>
      <c r="D74" s="26"/>
      <c r="E74" s="26"/>
      <c r="F74" s="26"/>
      <c r="G74" s="26"/>
      <c r="H74" s="26"/>
      <c r="I74" s="26"/>
      <c r="J74" s="26"/>
      <c r="K74" s="26"/>
      <c r="L74" s="26"/>
      <c r="M74" s="26"/>
      <c r="N74" s="26"/>
      <c r="O74" s="26"/>
      <c r="P74" s="26"/>
      <c r="Q74" s="26"/>
      <c r="R74" s="17"/>
      <c r="S74" s="17"/>
      <c r="T74" s="17"/>
      <c r="U74" s="17"/>
      <c r="V74" s="17"/>
      <c r="W74" s="17"/>
      <c r="X74" s="17"/>
      <c r="Y74" s="17"/>
      <c r="Z74" s="17"/>
      <c r="AA74" s="17"/>
      <c r="AB74" s="17"/>
      <c r="AC74" s="17"/>
      <c r="AD74" s="17"/>
      <c r="AE74" s="17"/>
      <c r="AF74" s="17">
        <v>10.416666666363502</v>
      </c>
      <c r="AG74" s="17">
        <v>1.2468609408569309</v>
      </c>
      <c r="AH74" s="17"/>
      <c r="AI74" s="17"/>
      <c r="AJ74" s="17"/>
      <c r="AK74" s="17"/>
      <c r="AL74" s="17"/>
      <c r="AM74" s="17"/>
      <c r="AN74" s="17"/>
      <c r="AO74" s="17"/>
      <c r="AP74" s="26"/>
    </row>
    <row r="75" spans="1:42">
      <c r="A75" s="26"/>
      <c r="B75" s="26"/>
      <c r="C75" s="26"/>
      <c r="D75" s="26"/>
      <c r="E75" s="26"/>
      <c r="F75" s="26"/>
      <c r="G75" s="26"/>
      <c r="H75" s="26"/>
      <c r="I75" s="26"/>
      <c r="J75" s="26"/>
      <c r="K75" s="26"/>
      <c r="L75" s="26"/>
      <c r="M75" s="26"/>
      <c r="N75" s="26"/>
      <c r="O75" s="26"/>
      <c r="P75" s="26"/>
      <c r="Q75" s="26"/>
      <c r="R75" s="17"/>
      <c r="S75" s="17"/>
      <c r="T75" s="17"/>
      <c r="U75" s="17"/>
      <c r="V75" s="17"/>
      <c r="W75" s="17"/>
      <c r="X75" s="17"/>
      <c r="Y75" s="17"/>
      <c r="Z75" s="17"/>
      <c r="AA75" s="17"/>
      <c r="AB75" s="17"/>
      <c r="AC75" s="17"/>
      <c r="AD75" s="17"/>
      <c r="AE75" s="17"/>
      <c r="AF75" s="17">
        <v>10.583333333025319</v>
      </c>
      <c r="AG75" s="17">
        <v>0.96163330719145446</v>
      </c>
      <c r="AH75" s="17"/>
      <c r="AI75" s="17"/>
      <c r="AJ75" s="17"/>
      <c r="AK75" s="17"/>
      <c r="AL75" s="17"/>
      <c r="AM75" s="17"/>
      <c r="AN75" s="17"/>
      <c r="AO75" s="17"/>
      <c r="AP75" s="26"/>
    </row>
    <row r="76" spans="1:42">
      <c r="A76" s="26"/>
      <c r="B76" s="26"/>
      <c r="C76" s="26"/>
      <c r="D76" s="26"/>
      <c r="E76" s="26"/>
      <c r="F76" s="26"/>
      <c r="G76" s="26"/>
      <c r="H76" s="26"/>
      <c r="I76" s="26"/>
      <c r="J76" s="26"/>
      <c r="K76" s="26"/>
      <c r="L76" s="26"/>
      <c r="M76" s="26"/>
      <c r="N76" s="26"/>
      <c r="O76" s="26"/>
      <c r="P76" s="26"/>
      <c r="Q76" s="26"/>
      <c r="R76" s="17"/>
      <c r="S76" s="17"/>
      <c r="T76" s="17"/>
      <c r="U76" s="17"/>
      <c r="V76" s="17"/>
      <c r="W76" s="17"/>
      <c r="X76" s="17"/>
      <c r="Y76" s="17"/>
      <c r="Z76" s="17"/>
      <c r="AA76" s="17"/>
      <c r="AB76" s="17"/>
      <c r="AC76" s="17"/>
      <c r="AD76" s="17"/>
      <c r="AE76" s="17"/>
      <c r="AF76" s="17">
        <v>10.749999999687134</v>
      </c>
      <c r="AG76" s="17">
        <v>0.73380207711438517</v>
      </c>
      <c r="AH76" s="17"/>
      <c r="AI76" s="17"/>
      <c r="AJ76" s="17"/>
      <c r="AK76" s="17"/>
      <c r="AL76" s="17"/>
      <c r="AM76" s="17"/>
      <c r="AN76" s="17"/>
      <c r="AO76" s="17"/>
      <c r="AP76" s="26"/>
    </row>
    <row r="77" spans="1:42">
      <c r="A77" s="26"/>
      <c r="B77" s="26"/>
      <c r="C77" s="26"/>
      <c r="D77" s="26"/>
      <c r="E77" s="26"/>
      <c r="F77" s="26"/>
      <c r="G77" s="26"/>
      <c r="H77" s="26"/>
      <c r="I77" s="26"/>
      <c r="J77" s="26"/>
      <c r="K77" s="26"/>
      <c r="L77" s="26"/>
      <c r="M77" s="26"/>
      <c r="N77" s="26"/>
      <c r="O77" s="26"/>
      <c r="P77" s="26"/>
      <c r="Q77" s="26"/>
      <c r="R77" s="17"/>
      <c r="S77" s="17"/>
      <c r="T77" s="17"/>
      <c r="U77" s="17"/>
      <c r="V77" s="17"/>
      <c r="W77" s="17"/>
      <c r="X77" s="17"/>
      <c r="Y77" s="17"/>
      <c r="Z77" s="17"/>
      <c r="AA77" s="17"/>
      <c r="AB77" s="17"/>
      <c r="AC77" s="17"/>
      <c r="AD77" s="17"/>
      <c r="AE77" s="17"/>
      <c r="AF77" s="17">
        <v>10.91666666634895</v>
      </c>
      <c r="AG77" s="17">
        <v>0.5688760016763541</v>
      </c>
      <c r="AH77" s="17"/>
      <c r="AI77" s="17"/>
      <c r="AJ77" s="17"/>
      <c r="AK77" s="17"/>
      <c r="AL77" s="17"/>
      <c r="AM77" s="17"/>
      <c r="AN77" s="17"/>
      <c r="AO77" s="17"/>
      <c r="AP77" s="26"/>
    </row>
    <row r="78" spans="1:42">
      <c r="A78" s="26"/>
      <c r="B78" s="26"/>
      <c r="C78" s="26"/>
      <c r="D78" s="26"/>
      <c r="E78" s="26"/>
      <c r="F78" s="26"/>
      <c r="G78" s="26"/>
      <c r="H78" s="26"/>
      <c r="I78" s="26"/>
      <c r="J78" s="26"/>
      <c r="K78" s="26"/>
      <c r="L78" s="26"/>
      <c r="M78" s="26"/>
      <c r="N78" s="26"/>
      <c r="O78" s="26"/>
      <c r="P78" s="26"/>
      <c r="Q78" s="26"/>
      <c r="R78" s="17"/>
      <c r="S78" s="17"/>
      <c r="T78" s="17"/>
      <c r="U78" s="17"/>
      <c r="V78" s="17"/>
      <c r="W78" s="17"/>
      <c r="X78" s="17"/>
      <c r="Y78" s="17"/>
      <c r="Z78" s="17"/>
      <c r="AA78" s="17"/>
      <c r="AB78" s="17"/>
      <c r="AC78" s="17"/>
      <c r="AD78" s="17"/>
      <c r="AE78" s="17"/>
      <c r="AF78" s="17">
        <v>11.083333333010767</v>
      </c>
      <c r="AG78" s="17">
        <v>0.45234779564608441</v>
      </c>
      <c r="AH78" s="17"/>
      <c r="AI78" s="17"/>
      <c r="AJ78" s="17"/>
      <c r="AK78" s="17"/>
      <c r="AL78" s="17"/>
      <c r="AM78" s="17"/>
      <c r="AN78" s="17"/>
      <c r="AO78" s="17"/>
      <c r="AP78" s="26"/>
    </row>
    <row r="79" spans="1:42">
      <c r="A79" s="26"/>
      <c r="B79" s="26"/>
      <c r="C79" s="26"/>
      <c r="D79" s="26"/>
      <c r="E79" s="26"/>
      <c r="F79" s="26"/>
      <c r="G79" s="26"/>
      <c r="H79" s="26"/>
      <c r="I79" s="26"/>
      <c r="J79" s="26"/>
      <c r="K79" s="26"/>
      <c r="L79" s="26"/>
      <c r="M79" s="26"/>
      <c r="N79" s="26"/>
      <c r="O79" s="26"/>
      <c r="P79" s="26"/>
      <c r="Q79" s="26"/>
      <c r="R79" s="17"/>
      <c r="S79" s="17"/>
      <c r="T79" s="17"/>
      <c r="U79" s="17"/>
      <c r="V79" s="17"/>
      <c r="W79" s="17"/>
      <c r="X79" s="17"/>
      <c r="Y79" s="17"/>
      <c r="Z79" s="17"/>
      <c r="AA79" s="17"/>
      <c r="AB79" s="17"/>
      <c r="AC79" s="17"/>
      <c r="AD79" s="17"/>
      <c r="AE79" s="17"/>
      <c r="AF79" s="17">
        <v>11.249999999672582</v>
      </c>
      <c r="AG79" s="17">
        <v>0.36657029796213286</v>
      </c>
      <c r="AH79" s="17"/>
      <c r="AI79" s="17"/>
      <c r="AJ79" s="17"/>
      <c r="AK79" s="17"/>
      <c r="AL79" s="17"/>
      <c r="AM79" s="17"/>
      <c r="AN79" s="17"/>
      <c r="AO79" s="17"/>
      <c r="AP79" s="26"/>
    </row>
    <row r="80" spans="1:42">
      <c r="A80" s="26"/>
      <c r="B80" s="26"/>
      <c r="C80" s="26"/>
      <c r="D80" s="26"/>
      <c r="E80" s="26"/>
      <c r="F80" s="26"/>
      <c r="G80" s="26"/>
      <c r="H80" s="26"/>
      <c r="I80" s="26"/>
      <c r="J80" s="26"/>
      <c r="K80" s="26"/>
      <c r="L80" s="26"/>
      <c r="M80" s="26"/>
      <c r="N80" s="26"/>
      <c r="O80" s="26"/>
      <c r="P80" s="26"/>
      <c r="Q80" s="26"/>
      <c r="R80" s="17"/>
      <c r="S80" s="17"/>
      <c r="T80" s="17"/>
      <c r="U80" s="17"/>
      <c r="V80" s="17"/>
      <c r="W80" s="17"/>
      <c r="X80" s="17"/>
      <c r="Y80" s="17"/>
      <c r="Z80" s="17"/>
      <c r="AA80" s="17"/>
      <c r="AB80" s="17"/>
      <c r="AC80" s="17"/>
      <c r="AD80" s="17"/>
      <c r="AE80" s="17"/>
      <c r="AF80" s="17">
        <v>11.416666666334399</v>
      </c>
      <c r="AG80" s="17">
        <v>0.30764493734459586</v>
      </c>
      <c r="AH80" s="17"/>
      <c r="AI80" s="17"/>
      <c r="AJ80" s="17"/>
      <c r="AK80" s="17"/>
      <c r="AL80" s="17"/>
      <c r="AM80" s="17"/>
      <c r="AN80" s="17"/>
      <c r="AO80" s="17"/>
      <c r="AP80" s="26"/>
    </row>
    <row r="81" spans="1:42">
      <c r="A81" s="26"/>
      <c r="B81" s="26"/>
      <c r="C81" s="26"/>
      <c r="D81" s="26"/>
      <c r="E81" s="26"/>
      <c r="F81" s="26"/>
      <c r="G81" s="26"/>
      <c r="H81" s="26"/>
      <c r="I81" s="26"/>
      <c r="J81" s="26"/>
      <c r="K81" s="26"/>
      <c r="L81" s="26"/>
      <c r="M81" s="26"/>
      <c r="N81" s="26"/>
      <c r="O81" s="26"/>
      <c r="P81" s="26"/>
      <c r="Q81" s="26"/>
      <c r="R81" s="17"/>
      <c r="S81" s="17"/>
      <c r="T81" s="17"/>
      <c r="U81" s="17"/>
      <c r="V81" s="17"/>
      <c r="W81" s="17"/>
      <c r="X81" s="17"/>
      <c r="Y81" s="17"/>
      <c r="Z81" s="17"/>
      <c r="AA81" s="17"/>
      <c r="AB81" s="17"/>
      <c r="AC81" s="17"/>
      <c r="AD81" s="17"/>
      <c r="AE81" s="17"/>
      <c r="AF81" s="17">
        <v>11.583333332996215</v>
      </c>
      <c r="AG81" s="17">
        <v>0.26469870406539947</v>
      </c>
      <c r="AH81" s="17"/>
      <c r="AI81" s="17"/>
      <c r="AJ81" s="17"/>
      <c r="AK81" s="17"/>
      <c r="AL81" s="17"/>
      <c r="AM81" s="17"/>
      <c r="AN81" s="17"/>
      <c r="AO81" s="17"/>
      <c r="AP81" s="26"/>
    </row>
    <row r="82" spans="1:42">
      <c r="A82" s="26"/>
      <c r="B82" s="26"/>
      <c r="C82" s="26"/>
      <c r="D82" s="26"/>
      <c r="E82" s="26"/>
      <c r="F82" s="26"/>
      <c r="G82" s="26"/>
      <c r="H82" s="26"/>
      <c r="I82" s="26"/>
      <c r="J82" s="26"/>
      <c r="K82" s="26"/>
      <c r="L82" s="26"/>
      <c r="M82" s="26"/>
      <c r="N82" s="26"/>
      <c r="O82" s="26"/>
      <c r="P82" s="26"/>
      <c r="Q82" s="26"/>
      <c r="R82" s="17"/>
      <c r="S82" s="17"/>
      <c r="T82" s="17"/>
      <c r="U82" s="17"/>
      <c r="V82" s="17"/>
      <c r="W82" s="17"/>
      <c r="X82" s="17"/>
      <c r="Y82" s="17"/>
      <c r="Z82" s="17"/>
      <c r="AA82" s="17"/>
      <c r="AB82" s="17"/>
      <c r="AC82" s="17"/>
      <c r="AD82" s="17"/>
      <c r="AE82" s="17"/>
      <c r="AF82" s="17">
        <v>11.74999999965803</v>
      </c>
      <c r="AG82" s="17">
        <v>0.23519865422747449</v>
      </c>
      <c r="AH82" s="17"/>
      <c r="AI82" s="17"/>
      <c r="AJ82" s="17"/>
      <c r="AK82" s="17"/>
      <c r="AL82" s="17"/>
      <c r="AM82" s="17"/>
      <c r="AN82" s="17"/>
      <c r="AO82" s="17"/>
      <c r="AP82" s="26"/>
    </row>
    <row r="83" spans="1:42">
      <c r="A83" s="26"/>
      <c r="B83" s="26"/>
      <c r="C83" s="26"/>
      <c r="D83" s="26"/>
      <c r="E83" s="26"/>
      <c r="F83" s="26"/>
      <c r="G83" s="26"/>
      <c r="H83" s="26"/>
      <c r="I83" s="26"/>
      <c r="J83" s="26"/>
      <c r="K83" s="26"/>
      <c r="L83" s="26"/>
      <c r="M83" s="26"/>
      <c r="N83" s="26"/>
      <c r="O83" s="26"/>
      <c r="P83" s="26"/>
      <c r="Q83" s="26"/>
      <c r="R83" s="17"/>
      <c r="S83" s="17"/>
      <c r="T83" s="17"/>
      <c r="U83" s="17"/>
      <c r="V83" s="17"/>
      <c r="W83" s="17"/>
      <c r="X83" s="17"/>
      <c r="Y83" s="17"/>
      <c r="Z83" s="17"/>
      <c r="AA83" s="17"/>
      <c r="AB83" s="17"/>
      <c r="AC83" s="17"/>
      <c r="AD83" s="17"/>
      <c r="AE83" s="17"/>
      <c r="AF83" s="17">
        <v>11.916666666319847</v>
      </c>
      <c r="AG83" s="17">
        <v>0.21850378544868904</v>
      </c>
      <c r="AH83" s="17"/>
      <c r="AI83" s="17"/>
      <c r="AJ83" s="17"/>
      <c r="AK83" s="17"/>
      <c r="AL83" s="17"/>
      <c r="AM83" s="17"/>
      <c r="AN83" s="17"/>
      <c r="AO83" s="17"/>
      <c r="AP83" s="26"/>
    </row>
    <row r="84" spans="1:42">
      <c r="A84" s="26"/>
      <c r="B84" s="26"/>
      <c r="C84" s="26"/>
      <c r="D84" s="26"/>
      <c r="E84" s="26"/>
      <c r="F84" s="26"/>
      <c r="G84" s="26"/>
      <c r="H84" s="26"/>
      <c r="I84" s="26"/>
      <c r="J84" s="26"/>
      <c r="K84" s="26"/>
      <c r="L84" s="26"/>
      <c r="M84" s="26"/>
      <c r="N84" s="26"/>
      <c r="O84" s="26"/>
      <c r="P84" s="26"/>
      <c r="Q84" s="26"/>
      <c r="R84" s="17"/>
      <c r="S84" s="17"/>
      <c r="T84" s="17"/>
      <c r="U84" s="17"/>
      <c r="V84" s="17"/>
      <c r="W84" s="17"/>
      <c r="X84" s="17"/>
      <c r="Y84" s="17"/>
      <c r="Z84" s="17"/>
      <c r="AA84" s="17"/>
      <c r="AB84" s="17"/>
      <c r="AC84" s="17"/>
      <c r="AD84" s="17"/>
      <c r="AE84" s="17"/>
      <c r="AF84" s="17">
        <v>12.083333332981663</v>
      </c>
      <c r="AG84" s="17">
        <v>0.20668796647832893</v>
      </c>
      <c r="AH84" s="17"/>
      <c r="AI84" s="17"/>
      <c r="AJ84" s="17"/>
      <c r="AK84" s="17"/>
      <c r="AL84" s="17"/>
      <c r="AM84" s="17"/>
      <c r="AN84" s="17"/>
      <c r="AO84" s="17"/>
      <c r="AP84" s="26"/>
    </row>
    <row r="85" spans="1:42">
      <c r="A85" s="26"/>
      <c r="B85" s="26"/>
      <c r="C85" s="26"/>
      <c r="D85" s="26"/>
      <c r="E85" s="26"/>
      <c r="F85" s="26"/>
      <c r="G85" s="26"/>
      <c r="H85" s="26"/>
      <c r="I85" s="26"/>
      <c r="J85" s="26"/>
      <c r="K85" s="26"/>
      <c r="L85" s="26"/>
      <c r="M85" s="26"/>
      <c r="N85" s="26"/>
      <c r="O85" s="26"/>
      <c r="P85" s="26"/>
      <c r="Q85" s="26"/>
      <c r="R85" s="17"/>
      <c r="S85" s="17"/>
      <c r="T85" s="17"/>
      <c r="U85" s="17"/>
      <c r="V85" s="17"/>
      <c r="W85" s="17"/>
      <c r="X85" s="17"/>
      <c r="Y85" s="17"/>
      <c r="Z85" s="17"/>
      <c r="AA85" s="17"/>
      <c r="AB85" s="17"/>
      <c r="AC85" s="17"/>
      <c r="AD85" s="17"/>
      <c r="AE85" s="17"/>
      <c r="AF85" s="17">
        <v>12.249999999643478</v>
      </c>
      <c r="AG85" s="17">
        <v>0.19440285741483035</v>
      </c>
      <c r="AH85" s="17"/>
      <c r="AI85" s="17"/>
      <c r="AJ85" s="17"/>
      <c r="AK85" s="17"/>
      <c r="AL85" s="17"/>
      <c r="AM85" s="17"/>
      <c r="AN85" s="17"/>
      <c r="AO85" s="17"/>
      <c r="AP85" s="26"/>
    </row>
    <row r="86" spans="1:42">
      <c r="A86" s="26"/>
      <c r="B86" s="26"/>
      <c r="C86" s="26"/>
      <c r="D86" s="26"/>
      <c r="E86" s="26"/>
      <c r="F86" s="26"/>
      <c r="G86" s="26"/>
      <c r="H86" s="26"/>
      <c r="I86" s="26"/>
      <c r="J86" s="26"/>
      <c r="K86" s="26"/>
      <c r="L86" s="26"/>
      <c r="M86" s="26"/>
      <c r="N86" s="26"/>
      <c r="O86" s="26"/>
      <c r="P86" s="26"/>
      <c r="Q86" s="26"/>
      <c r="R86" s="17"/>
      <c r="S86" s="17"/>
      <c r="T86" s="17"/>
      <c r="U86" s="17"/>
      <c r="V86" s="17"/>
      <c r="W86" s="17"/>
      <c r="X86" s="17"/>
      <c r="Y86" s="17"/>
      <c r="Z86" s="17"/>
      <c r="AA86" s="17"/>
      <c r="AB86" s="17"/>
      <c r="AC86" s="17"/>
      <c r="AD86" s="17"/>
      <c r="AE86" s="17"/>
      <c r="AF86" s="17">
        <v>12.416666666305295</v>
      </c>
      <c r="AG86" s="17">
        <v>0.1815481554740796</v>
      </c>
      <c r="AH86" s="17"/>
      <c r="AI86" s="17"/>
      <c r="AJ86" s="17"/>
      <c r="AK86" s="17"/>
      <c r="AL86" s="17"/>
      <c r="AM86" s="17"/>
      <c r="AN86" s="17"/>
      <c r="AO86" s="17"/>
      <c r="AP86" s="26"/>
    </row>
    <row r="87" spans="1:42">
      <c r="A87" s="26"/>
      <c r="B87" s="26"/>
      <c r="C87" s="26"/>
      <c r="D87" s="26"/>
      <c r="E87" s="26"/>
      <c r="F87" s="26"/>
      <c r="G87" s="26"/>
      <c r="H87" s="26"/>
      <c r="I87" s="26"/>
      <c r="J87" s="26"/>
      <c r="K87" s="26"/>
      <c r="L87" s="26"/>
      <c r="M87" s="26"/>
      <c r="N87" s="26"/>
      <c r="O87" s="26"/>
      <c r="P87" s="26"/>
      <c r="Q87" s="26"/>
      <c r="R87" s="17"/>
      <c r="S87" s="17"/>
      <c r="T87" s="17"/>
      <c r="U87" s="17"/>
      <c r="V87" s="17"/>
      <c r="W87" s="17"/>
      <c r="X87" s="17"/>
      <c r="Y87" s="17"/>
      <c r="Z87" s="17"/>
      <c r="AA87" s="17"/>
      <c r="AB87" s="17"/>
      <c r="AC87" s="17"/>
      <c r="AD87" s="17"/>
      <c r="AE87" s="17"/>
      <c r="AF87" s="17">
        <v>12.583333332967111</v>
      </c>
      <c r="AG87" s="17">
        <v>0.16812387943285359</v>
      </c>
      <c r="AH87" s="17"/>
      <c r="AI87" s="17"/>
      <c r="AJ87" s="17"/>
      <c r="AK87" s="17"/>
      <c r="AL87" s="17"/>
      <c r="AM87" s="17"/>
      <c r="AN87" s="17"/>
      <c r="AO87" s="17"/>
      <c r="AP87" s="26"/>
    </row>
    <row r="88" spans="1:42">
      <c r="A88" s="26"/>
      <c r="B88" s="26"/>
      <c r="C88" s="26"/>
      <c r="D88" s="26"/>
      <c r="E88" s="26"/>
      <c r="F88" s="26"/>
      <c r="G88" s="26"/>
      <c r="H88" s="26"/>
      <c r="I88" s="26"/>
      <c r="J88" s="26"/>
      <c r="K88" s="26"/>
      <c r="L88" s="26"/>
      <c r="M88" s="26"/>
      <c r="N88" s="26"/>
      <c r="O88" s="26"/>
      <c r="P88" s="26"/>
      <c r="Q88" s="26"/>
      <c r="R88" s="17"/>
      <c r="S88" s="17"/>
      <c r="T88" s="17"/>
      <c r="U88" s="17"/>
      <c r="V88" s="17"/>
      <c r="W88" s="17"/>
      <c r="X88" s="17"/>
      <c r="Y88" s="17"/>
      <c r="Z88" s="17"/>
      <c r="AA88" s="17"/>
      <c r="AB88" s="17"/>
      <c r="AC88" s="17"/>
      <c r="AD88" s="17"/>
      <c r="AE88" s="17"/>
      <c r="AF88" s="17">
        <v>12.749999999628926</v>
      </c>
      <c r="AG88" s="17">
        <v>0.15474979141080089</v>
      </c>
      <c r="AH88" s="17"/>
      <c r="AI88" s="17"/>
      <c r="AJ88" s="17"/>
      <c r="AK88" s="17"/>
      <c r="AL88" s="17"/>
      <c r="AM88" s="17"/>
      <c r="AN88" s="17"/>
      <c r="AO88" s="17"/>
      <c r="AP88" s="26"/>
    </row>
    <row r="89" spans="1:42">
      <c r="A89" s="26"/>
      <c r="B89" s="26"/>
      <c r="C89" s="26"/>
      <c r="D89" s="26"/>
      <c r="E89" s="26"/>
      <c r="F89" s="26"/>
      <c r="G89" s="26"/>
      <c r="H89" s="26"/>
      <c r="I89" s="26"/>
      <c r="J89" s="26"/>
      <c r="K89" s="26"/>
      <c r="L89" s="26"/>
      <c r="M89" s="26"/>
      <c r="N89" s="26"/>
      <c r="O89" s="26"/>
      <c r="P89" s="26"/>
      <c r="Q89" s="26"/>
      <c r="R89" s="17"/>
      <c r="S89" s="17"/>
      <c r="T89" s="17"/>
      <c r="U89" s="17"/>
      <c r="V89" s="17"/>
      <c r="W89" s="17"/>
      <c r="X89" s="17"/>
      <c r="Y89" s="17"/>
      <c r="Z89" s="17"/>
      <c r="AA89" s="17"/>
      <c r="AB89" s="17"/>
      <c r="AC89" s="17"/>
      <c r="AD89" s="17"/>
      <c r="AE89" s="17"/>
      <c r="AF89" s="17">
        <v>12.916666666290743</v>
      </c>
      <c r="AG89" s="17">
        <v>0.14367708060222309</v>
      </c>
      <c r="AH89" s="17"/>
      <c r="AI89" s="17"/>
      <c r="AJ89" s="17"/>
      <c r="AK89" s="17"/>
      <c r="AL89" s="17"/>
      <c r="AM89" s="17"/>
      <c r="AN89" s="17"/>
      <c r="AO89" s="17"/>
      <c r="AP89" s="26"/>
    </row>
    <row r="90" spans="1:42">
      <c r="A90" s="26"/>
      <c r="B90" s="26"/>
      <c r="C90" s="26"/>
      <c r="D90" s="26"/>
      <c r="E90" s="26"/>
      <c r="F90" s="26"/>
      <c r="G90" s="26"/>
      <c r="H90" s="26"/>
      <c r="I90" s="26"/>
      <c r="J90" s="26"/>
      <c r="K90" s="26"/>
      <c r="L90" s="26"/>
      <c r="M90" s="26"/>
      <c r="N90" s="26"/>
      <c r="O90" s="26"/>
      <c r="P90" s="26"/>
      <c r="Q90" s="26"/>
      <c r="R90" s="17"/>
      <c r="S90" s="17"/>
      <c r="T90" s="17"/>
      <c r="U90" s="17"/>
      <c r="V90" s="17"/>
      <c r="W90" s="17"/>
      <c r="X90" s="17"/>
      <c r="Y90" s="17"/>
      <c r="Z90" s="17"/>
      <c r="AA90" s="17"/>
      <c r="AB90" s="17"/>
      <c r="AC90" s="17"/>
      <c r="AD90" s="17"/>
      <c r="AE90" s="17"/>
      <c r="AF90" s="17">
        <v>13.083333332952559</v>
      </c>
      <c r="AG90" s="17">
        <v>0.1354167282608614</v>
      </c>
      <c r="AH90" s="17"/>
      <c r="AI90" s="17"/>
      <c r="AJ90" s="17"/>
      <c r="AK90" s="17"/>
      <c r="AL90" s="17"/>
      <c r="AM90" s="17"/>
      <c r="AN90" s="17"/>
      <c r="AO90" s="17"/>
      <c r="AP90" s="26"/>
    </row>
    <row r="91" spans="1:42">
      <c r="A91" s="26"/>
      <c r="B91" s="26"/>
      <c r="C91" s="26"/>
      <c r="D91" s="26"/>
      <c r="E91" s="26"/>
      <c r="F91" s="26"/>
      <c r="G91" s="26"/>
      <c r="H91" s="26"/>
      <c r="I91" s="26"/>
      <c r="J91" s="26"/>
      <c r="K91" s="26"/>
      <c r="L91" s="26"/>
      <c r="M91" s="26"/>
      <c r="N91" s="26"/>
      <c r="O91" s="26"/>
      <c r="P91" s="26"/>
      <c r="Q91" s="26"/>
      <c r="R91" s="17"/>
      <c r="S91" s="17"/>
      <c r="T91" s="17"/>
      <c r="U91" s="17"/>
      <c r="V91" s="17"/>
      <c r="W91" s="17"/>
      <c r="X91" s="17"/>
      <c r="Y91" s="17"/>
      <c r="Z91" s="17"/>
      <c r="AA91" s="17"/>
      <c r="AB91" s="17"/>
      <c r="AC91" s="17"/>
      <c r="AD91" s="17"/>
      <c r="AE91" s="17"/>
      <c r="AF91" s="17">
        <v>13.249999999614374</v>
      </c>
      <c r="AG91" s="17">
        <v>0.12996873438673642</v>
      </c>
      <c r="AH91" s="17"/>
      <c r="AI91" s="17"/>
      <c r="AJ91" s="17"/>
      <c r="AK91" s="17"/>
      <c r="AL91" s="17"/>
      <c r="AM91" s="17"/>
      <c r="AN91" s="17"/>
      <c r="AO91" s="17"/>
      <c r="AP91" s="26"/>
    </row>
    <row r="92" spans="1:42">
      <c r="A92" s="26"/>
      <c r="B92" s="26"/>
      <c r="C92" s="26"/>
      <c r="D92" s="26"/>
      <c r="E92" s="26"/>
      <c r="F92" s="26"/>
      <c r="G92" s="26"/>
      <c r="H92" s="26"/>
      <c r="I92" s="26"/>
      <c r="J92" s="26"/>
      <c r="K92" s="26"/>
      <c r="L92" s="26"/>
      <c r="M92" s="26"/>
      <c r="N92" s="26"/>
      <c r="O92" s="26"/>
      <c r="P92" s="26"/>
      <c r="Q92" s="26"/>
      <c r="R92" s="17"/>
      <c r="S92" s="17"/>
      <c r="T92" s="17"/>
      <c r="U92" s="17"/>
      <c r="V92" s="17"/>
      <c r="W92" s="17"/>
      <c r="X92" s="17"/>
      <c r="Y92" s="17"/>
      <c r="Z92" s="17"/>
      <c r="AA92" s="17"/>
      <c r="AB92" s="17"/>
      <c r="AC92" s="17"/>
      <c r="AD92" s="17"/>
      <c r="AE92" s="17"/>
      <c r="AF92" s="17">
        <v>13.416666666276191</v>
      </c>
      <c r="AG92" s="17">
        <v>0.12733309897982134</v>
      </c>
      <c r="AH92" s="17"/>
      <c r="AI92" s="17"/>
      <c r="AJ92" s="17"/>
      <c r="AK92" s="17"/>
      <c r="AL92" s="17"/>
      <c r="AM92" s="17"/>
      <c r="AN92" s="17"/>
      <c r="AO92" s="17"/>
      <c r="AP92" s="26"/>
    </row>
    <row r="93" spans="1:42">
      <c r="A93" s="26"/>
      <c r="B93" s="26"/>
      <c r="C93" s="26"/>
      <c r="D93" s="26"/>
      <c r="E93" s="26"/>
      <c r="F93" s="26"/>
      <c r="G93" s="26"/>
      <c r="H93" s="26"/>
      <c r="I93" s="26"/>
      <c r="J93" s="26"/>
      <c r="K93" s="26"/>
      <c r="L93" s="26"/>
      <c r="M93" s="26"/>
      <c r="N93" s="26"/>
      <c r="O93" s="26"/>
      <c r="P93" s="26"/>
      <c r="Q93" s="26"/>
      <c r="R93" s="17"/>
      <c r="S93" s="17"/>
      <c r="T93" s="17"/>
      <c r="U93" s="17"/>
      <c r="V93" s="17"/>
      <c r="W93" s="17"/>
      <c r="X93" s="17"/>
      <c r="Y93" s="17"/>
      <c r="Z93" s="17"/>
      <c r="AA93" s="17"/>
      <c r="AB93" s="17"/>
      <c r="AC93" s="17"/>
      <c r="AD93" s="17"/>
      <c r="AE93" s="17"/>
      <c r="AF93" s="17">
        <v>13.583333332938007</v>
      </c>
      <c r="AG93" s="17">
        <v>0.12750982204013869</v>
      </c>
      <c r="AH93" s="17"/>
      <c r="AI93" s="17"/>
      <c r="AJ93" s="17"/>
      <c r="AK93" s="17"/>
      <c r="AL93" s="17"/>
      <c r="AM93" s="17"/>
      <c r="AN93" s="17"/>
      <c r="AO93" s="17"/>
      <c r="AP93" s="26"/>
    </row>
    <row r="94" spans="1:42">
      <c r="A94" s="26"/>
      <c r="B94" s="26"/>
      <c r="C94" s="26"/>
      <c r="D94" s="26"/>
      <c r="E94" s="26"/>
      <c r="F94" s="26"/>
      <c r="G94" s="26"/>
      <c r="H94" s="26"/>
      <c r="I94" s="26"/>
      <c r="J94" s="26"/>
      <c r="K94" s="26"/>
      <c r="L94" s="26"/>
      <c r="M94" s="26"/>
      <c r="N94" s="26"/>
      <c r="O94" s="26"/>
      <c r="P94" s="26"/>
      <c r="Q94" s="26"/>
      <c r="R94" s="17"/>
      <c r="S94" s="17"/>
      <c r="T94" s="17"/>
      <c r="U94" s="17"/>
      <c r="V94" s="17"/>
      <c r="W94" s="17"/>
      <c r="X94" s="17"/>
      <c r="Y94" s="17"/>
      <c r="Z94" s="17"/>
      <c r="AA94" s="17"/>
      <c r="AB94" s="17"/>
      <c r="AC94" s="17"/>
      <c r="AD94" s="17"/>
      <c r="AE94" s="17"/>
      <c r="AF94" s="17">
        <v>13.749999999599822</v>
      </c>
      <c r="AG94" s="17">
        <v>0.13020676322881472</v>
      </c>
      <c r="AH94" s="17"/>
      <c r="AI94" s="17"/>
      <c r="AJ94" s="17"/>
      <c r="AK94" s="17"/>
      <c r="AL94" s="17"/>
      <c r="AM94" s="17"/>
      <c r="AN94" s="17"/>
      <c r="AO94" s="17"/>
      <c r="AP94" s="26"/>
    </row>
    <row r="95" spans="1:42">
      <c r="A95" s="26"/>
      <c r="B95" s="26"/>
      <c r="C95" s="26"/>
      <c r="D95" s="26"/>
      <c r="E95" s="26"/>
      <c r="F95" s="26"/>
      <c r="G95" s="26"/>
      <c r="H95" s="26"/>
      <c r="I95" s="26"/>
      <c r="J95" s="26"/>
      <c r="K95" s="26"/>
      <c r="L95" s="26"/>
      <c r="M95" s="26"/>
      <c r="N95" s="26"/>
      <c r="O95" s="26"/>
      <c r="P95" s="26"/>
      <c r="Q95" s="26"/>
      <c r="R95" s="17"/>
      <c r="S95" s="17"/>
      <c r="T95" s="17"/>
      <c r="U95" s="17"/>
      <c r="V95" s="17"/>
      <c r="W95" s="17"/>
      <c r="X95" s="17"/>
      <c r="Y95" s="17"/>
      <c r="Z95" s="17"/>
      <c r="AA95" s="17"/>
      <c r="AB95" s="17"/>
      <c r="AC95" s="17"/>
      <c r="AD95" s="17"/>
      <c r="AE95" s="17"/>
      <c r="AF95" s="17">
        <v>13.916666666261639</v>
      </c>
      <c r="AG95" s="17">
        <v>0.1337616681884361</v>
      </c>
      <c r="AH95" s="17"/>
      <c r="AI95" s="17"/>
      <c r="AJ95" s="17"/>
      <c r="AK95" s="17"/>
      <c r="AL95" s="17"/>
      <c r="AM95" s="17"/>
      <c r="AN95" s="17"/>
      <c r="AO95" s="17"/>
      <c r="AP95" s="26"/>
    </row>
    <row r="96" spans="1:42">
      <c r="A96" s="26"/>
      <c r="B96" s="26"/>
      <c r="C96" s="26"/>
      <c r="D96" s="26"/>
      <c r="E96" s="26"/>
      <c r="F96" s="26"/>
      <c r="G96" s="26"/>
      <c r="H96" s="26"/>
      <c r="I96" s="26"/>
      <c r="J96" s="26"/>
      <c r="K96" s="26"/>
      <c r="L96" s="26"/>
      <c r="M96" s="26"/>
      <c r="N96" s="26"/>
      <c r="O96" s="26"/>
      <c r="P96" s="26"/>
      <c r="Q96" s="26"/>
      <c r="R96" s="17"/>
      <c r="S96" s="17"/>
      <c r="T96" s="17"/>
      <c r="U96" s="17"/>
      <c r="V96" s="17"/>
      <c r="W96" s="17"/>
      <c r="X96" s="17"/>
      <c r="Y96" s="17"/>
      <c r="Z96" s="17"/>
      <c r="AA96" s="17"/>
      <c r="AB96" s="17"/>
      <c r="AC96" s="17"/>
      <c r="AD96" s="17"/>
      <c r="AE96" s="17"/>
      <c r="AF96" s="17">
        <v>14.083333332923456</v>
      </c>
      <c r="AG96" s="17">
        <v>0.13758743689451861</v>
      </c>
      <c r="AH96" s="17"/>
      <c r="AI96" s="17"/>
      <c r="AJ96" s="17"/>
      <c r="AK96" s="17"/>
      <c r="AL96" s="17"/>
      <c r="AM96" s="17"/>
      <c r="AN96" s="17"/>
      <c r="AO96" s="17"/>
      <c r="AP96" s="26"/>
    </row>
    <row r="97" spans="1:42">
      <c r="A97" s="26"/>
      <c r="B97" s="26"/>
      <c r="C97" s="26"/>
      <c r="D97" s="26"/>
      <c r="E97" s="26"/>
      <c r="F97" s="26"/>
      <c r="G97" s="26"/>
      <c r="H97" s="26"/>
      <c r="I97" s="26"/>
      <c r="J97" s="26"/>
      <c r="K97" s="26"/>
      <c r="L97" s="26"/>
      <c r="M97" s="26"/>
      <c r="N97" s="26"/>
      <c r="O97" s="26"/>
      <c r="P97" s="26"/>
      <c r="Q97" s="26"/>
      <c r="R97" s="17"/>
      <c r="S97" s="17"/>
      <c r="T97" s="17"/>
      <c r="U97" s="17"/>
      <c r="V97" s="17"/>
      <c r="W97" s="17"/>
      <c r="X97" s="17"/>
      <c r="Y97" s="17"/>
      <c r="Z97" s="17"/>
      <c r="AA97" s="17"/>
      <c r="AB97" s="17"/>
      <c r="AC97" s="17"/>
      <c r="AD97" s="17"/>
      <c r="AE97" s="17"/>
      <c r="AF97" s="17">
        <v>14.24999999958527</v>
      </c>
      <c r="AG97" s="17">
        <v>0.14168339847092259</v>
      </c>
      <c r="AH97" s="17"/>
      <c r="AI97" s="17"/>
      <c r="AJ97" s="17"/>
      <c r="AK97" s="17"/>
      <c r="AL97" s="17"/>
      <c r="AM97" s="17"/>
      <c r="AN97" s="17"/>
      <c r="AO97" s="17"/>
      <c r="AP97" s="26"/>
    </row>
    <row r="98" spans="1:42">
      <c r="A98" s="26"/>
      <c r="B98" s="26"/>
      <c r="C98" s="26"/>
      <c r="D98" s="26"/>
      <c r="E98" s="26"/>
      <c r="F98" s="26"/>
      <c r="G98" s="26"/>
      <c r="H98" s="26"/>
      <c r="I98" s="26"/>
      <c r="J98" s="26"/>
      <c r="K98" s="26"/>
      <c r="L98" s="26"/>
      <c r="M98" s="26"/>
      <c r="N98" s="26"/>
      <c r="O98" s="26"/>
      <c r="P98" s="26"/>
      <c r="Q98" s="26"/>
      <c r="R98" s="17"/>
      <c r="S98" s="17"/>
      <c r="T98" s="17"/>
      <c r="U98" s="17"/>
      <c r="V98" s="17"/>
      <c r="W98" s="17"/>
      <c r="X98" s="17"/>
      <c r="Y98" s="17"/>
      <c r="Z98" s="17"/>
      <c r="AA98" s="17"/>
      <c r="AB98" s="17"/>
      <c r="AC98" s="17"/>
      <c r="AD98" s="17"/>
      <c r="AE98" s="17"/>
      <c r="AF98" s="17">
        <v>14.416666666247087</v>
      </c>
      <c r="AG98" s="17">
        <v>0.14604955291764279</v>
      </c>
      <c r="AH98" s="17"/>
      <c r="AI98" s="17"/>
      <c r="AJ98" s="17"/>
      <c r="AK98" s="17"/>
      <c r="AL98" s="17"/>
      <c r="AM98" s="17"/>
      <c r="AN98" s="17"/>
      <c r="AO98" s="17"/>
      <c r="AP98" s="26"/>
    </row>
    <row r="99" spans="1:42">
      <c r="A99" s="26"/>
      <c r="B99" s="26"/>
      <c r="C99" s="26"/>
      <c r="D99" s="26"/>
      <c r="E99" s="26"/>
      <c r="F99" s="26"/>
      <c r="G99" s="26"/>
      <c r="H99" s="26"/>
      <c r="I99" s="26"/>
      <c r="J99" s="26"/>
      <c r="K99" s="26"/>
      <c r="L99" s="26"/>
      <c r="M99" s="26"/>
      <c r="N99" s="26"/>
      <c r="O99" s="26"/>
      <c r="P99" s="26"/>
      <c r="Q99" s="26"/>
      <c r="R99" s="17"/>
      <c r="S99" s="17"/>
      <c r="T99" s="17"/>
      <c r="U99" s="17"/>
      <c r="V99" s="17"/>
      <c r="W99" s="17"/>
      <c r="X99" s="17"/>
      <c r="Y99" s="17"/>
      <c r="Z99" s="17"/>
      <c r="AA99" s="17"/>
      <c r="AB99" s="17"/>
      <c r="AC99" s="17"/>
      <c r="AD99" s="17"/>
      <c r="AE99" s="17"/>
      <c r="AF99" s="17">
        <v>14.583333332908904</v>
      </c>
      <c r="AG99" s="17">
        <v>0.15068590023467993</v>
      </c>
      <c r="AH99" s="17"/>
      <c r="AI99" s="17"/>
      <c r="AJ99" s="17"/>
      <c r="AK99" s="17"/>
      <c r="AL99" s="17"/>
      <c r="AM99" s="17"/>
      <c r="AN99" s="17"/>
      <c r="AO99" s="17"/>
      <c r="AP99" s="26"/>
    </row>
    <row r="100" spans="1:42">
      <c r="A100" s="26"/>
      <c r="B100" s="26"/>
      <c r="C100" s="26"/>
      <c r="D100" s="26"/>
      <c r="E100" s="26"/>
      <c r="F100" s="26"/>
      <c r="G100" s="26"/>
      <c r="H100" s="26"/>
      <c r="I100" s="26"/>
      <c r="J100" s="26"/>
      <c r="K100" s="26"/>
      <c r="L100" s="26"/>
      <c r="M100" s="26"/>
      <c r="N100" s="26"/>
      <c r="O100" s="26"/>
      <c r="P100" s="26"/>
      <c r="Q100" s="26"/>
      <c r="R100" s="17"/>
      <c r="S100" s="17"/>
      <c r="T100" s="17"/>
      <c r="U100" s="17"/>
      <c r="V100" s="17"/>
      <c r="W100" s="17"/>
      <c r="X100" s="17"/>
      <c r="Y100" s="17"/>
      <c r="Z100" s="17"/>
      <c r="AA100" s="17"/>
      <c r="AB100" s="17"/>
      <c r="AC100" s="17"/>
      <c r="AD100" s="17"/>
      <c r="AE100" s="17"/>
      <c r="AF100" s="17">
        <v>14.749999999570719</v>
      </c>
      <c r="AG100" s="17">
        <v>0.15559244042203332</v>
      </c>
      <c r="AH100" s="17"/>
      <c r="AI100" s="17"/>
      <c r="AJ100" s="17"/>
      <c r="AK100" s="17"/>
      <c r="AL100" s="17"/>
      <c r="AM100" s="17"/>
      <c r="AN100" s="17"/>
      <c r="AO100" s="17"/>
      <c r="AP100" s="26"/>
    </row>
    <row r="101" spans="1:42">
      <c r="A101" s="26"/>
      <c r="B101" s="26"/>
      <c r="C101" s="26"/>
      <c r="D101" s="26"/>
      <c r="E101" s="26"/>
      <c r="F101" s="26"/>
      <c r="G101" s="26"/>
      <c r="H101" s="26"/>
      <c r="I101" s="26"/>
      <c r="J101" s="26"/>
      <c r="K101" s="26"/>
      <c r="L101" s="26"/>
      <c r="M101" s="26"/>
      <c r="N101" s="26"/>
      <c r="O101" s="26"/>
      <c r="P101" s="26"/>
      <c r="Q101" s="26"/>
      <c r="R101" s="17"/>
      <c r="S101" s="17"/>
      <c r="T101" s="17"/>
      <c r="U101" s="17"/>
      <c r="V101" s="17"/>
      <c r="W101" s="17"/>
      <c r="X101" s="17"/>
      <c r="Y101" s="17"/>
      <c r="Z101" s="17"/>
      <c r="AA101" s="17"/>
      <c r="AB101" s="17"/>
      <c r="AC101" s="17"/>
      <c r="AD101" s="17"/>
      <c r="AE101" s="17"/>
      <c r="AF101" s="17">
        <v>14.916666666232535</v>
      </c>
      <c r="AG101" s="17">
        <v>0.16076917263222634</v>
      </c>
      <c r="AH101" s="17"/>
      <c r="AI101" s="17"/>
      <c r="AJ101" s="17"/>
      <c r="AK101" s="17"/>
      <c r="AL101" s="17"/>
      <c r="AM101" s="17"/>
      <c r="AN101" s="17"/>
      <c r="AO101" s="17"/>
      <c r="AP101" s="26"/>
    </row>
    <row r="102" spans="1:42">
      <c r="A102" s="26"/>
      <c r="B102" s="26"/>
      <c r="C102" s="26"/>
      <c r="D102" s="26"/>
      <c r="E102" s="26"/>
      <c r="F102" s="26"/>
      <c r="G102" s="26"/>
      <c r="H102" s="26"/>
      <c r="I102" s="26"/>
      <c r="J102" s="26"/>
      <c r="K102" s="26"/>
      <c r="L102" s="26"/>
      <c r="M102" s="26"/>
      <c r="N102" s="26"/>
      <c r="O102" s="26"/>
      <c r="P102" s="26"/>
      <c r="Q102" s="26"/>
      <c r="R102" s="17"/>
      <c r="S102" s="17"/>
      <c r="T102" s="17"/>
      <c r="U102" s="17"/>
      <c r="V102" s="17"/>
      <c r="W102" s="17"/>
      <c r="X102" s="17"/>
      <c r="Y102" s="17"/>
      <c r="Z102" s="17"/>
      <c r="AA102" s="17"/>
      <c r="AB102" s="17"/>
      <c r="AC102" s="17"/>
      <c r="AD102" s="17"/>
      <c r="AE102" s="17"/>
      <c r="AF102" s="17">
        <v>15.083333332894352</v>
      </c>
      <c r="AG102" s="17">
        <v>0.16569479518276148</v>
      </c>
      <c r="AH102" s="17"/>
      <c r="AI102" s="17"/>
      <c r="AJ102" s="17"/>
      <c r="AK102" s="17"/>
      <c r="AL102" s="17"/>
      <c r="AM102" s="17"/>
      <c r="AN102" s="17"/>
      <c r="AO102" s="17"/>
      <c r="AP102" s="26"/>
    </row>
    <row r="103" spans="1:42">
      <c r="A103" s="26"/>
      <c r="B103" s="26"/>
      <c r="C103" s="26"/>
      <c r="D103" s="26"/>
      <c r="E103" s="26"/>
      <c r="F103" s="26"/>
      <c r="G103" s="26"/>
      <c r="H103" s="26"/>
      <c r="I103" s="26"/>
      <c r="J103" s="26"/>
      <c r="K103" s="26"/>
      <c r="L103" s="26"/>
      <c r="M103" s="26"/>
      <c r="N103" s="26"/>
      <c r="O103" s="26"/>
      <c r="P103" s="26"/>
      <c r="Q103" s="26"/>
      <c r="R103" s="17"/>
      <c r="S103" s="17"/>
      <c r="T103" s="17"/>
      <c r="U103" s="17"/>
      <c r="V103" s="17"/>
      <c r="W103" s="17"/>
      <c r="X103" s="17"/>
      <c r="Y103" s="17"/>
      <c r="Z103" s="17"/>
      <c r="AA103" s="17"/>
      <c r="AB103" s="17"/>
      <c r="AC103" s="17"/>
      <c r="AD103" s="17"/>
      <c r="AE103" s="17"/>
      <c r="AF103" s="17">
        <v>15.249999999556167</v>
      </c>
      <c r="AG103" s="17">
        <v>0.16835720707264562</v>
      </c>
      <c r="AH103" s="17"/>
      <c r="AI103" s="17"/>
      <c r="AJ103" s="17"/>
      <c r="AK103" s="17"/>
      <c r="AL103" s="17"/>
      <c r="AM103" s="17"/>
      <c r="AN103" s="17"/>
      <c r="AO103" s="17"/>
      <c r="AP103" s="26"/>
    </row>
    <row r="104" spans="1:42">
      <c r="A104" s="26"/>
      <c r="B104" s="26"/>
      <c r="C104" s="26"/>
      <c r="D104" s="26"/>
      <c r="E104" s="26"/>
      <c r="F104" s="26"/>
      <c r="G104" s="26"/>
      <c r="H104" s="26"/>
      <c r="I104" s="26"/>
      <c r="J104" s="26"/>
      <c r="K104" s="26"/>
      <c r="L104" s="26"/>
      <c r="M104" s="26"/>
      <c r="N104" s="26"/>
      <c r="O104" s="26"/>
      <c r="P104" s="26"/>
      <c r="Q104" s="26"/>
      <c r="R104" s="17"/>
      <c r="S104" s="17"/>
      <c r="T104" s="17"/>
      <c r="U104" s="17"/>
      <c r="V104" s="17"/>
      <c r="W104" s="17"/>
      <c r="X104" s="17"/>
      <c r="Y104" s="17"/>
      <c r="Z104" s="17"/>
      <c r="AA104" s="17"/>
      <c r="AB104" s="17"/>
      <c r="AC104" s="17"/>
      <c r="AD104" s="17"/>
      <c r="AE104" s="17"/>
      <c r="AF104" s="17">
        <v>15.416666666217983</v>
      </c>
      <c r="AG104" s="17">
        <v>0.16827102310207676</v>
      </c>
      <c r="AH104" s="17"/>
      <c r="AI104" s="17"/>
      <c r="AJ104" s="17"/>
      <c r="AK104" s="17"/>
      <c r="AL104" s="17"/>
      <c r="AM104" s="17"/>
      <c r="AN104" s="17"/>
      <c r="AO104" s="17"/>
      <c r="AP104" s="26"/>
    </row>
    <row r="105" spans="1:42">
      <c r="A105" s="26"/>
      <c r="B105" s="26"/>
      <c r="C105" s="26"/>
      <c r="D105" s="26"/>
      <c r="E105" s="26"/>
      <c r="F105" s="26"/>
      <c r="G105" s="26"/>
      <c r="H105" s="26"/>
      <c r="I105" s="26"/>
      <c r="J105" s="26"/>
      <c r="K105" s="26"/>
      <c r="L105" s="26"/>
      <c r="M105" s="26"/>
      <c r="N105" s="26"/>
      <c r="O105" s="26"/>
      <c r="P105" s="26"/>
      <c r="Q105" s="26"/>
      <c r="R105" s="17"/>
      <c r="S105" s="17"/>
      <c r="T105" s="17"/>
      <c r="U105" s="17"/>
      <c r="V105" s="17"/>
      <c r="W105" s="17"/>
      <c r="X105" s="17"/>
      <c r="Y105" s="17"/>
      <c r="Z105" s="17"/>
      <c r="AA105" s="17"/>
      <c r="AB105" s="17"/>
      <c r="AC105" s="17"/>
      <c r="AD105" s="17"/>
      <c r="AE105" s="17"/>
      <c r="AF105" s="17">
        <v>15.5833333328798</v>
      </c>
      <c r="AG105" s="17">
        <v>0.1654362432710442</v>
      </c>
      <c r="AH105" s="17"/>
      <c r="AI105" s="17"/>
      <c r="AJ105" s="17"/>
      <c r="AK105" s="17"/>
      <c r="AL105" s="17"/>
      <c r="AM105" s="17"/>
      <c r="AN105" s="17"/>
      <c r="AO105" s="17"/>
      <c r="AP105" s="26"/>
    </row>
    <row r="106" spans="1:42">
      <c r="A106" s="26"/>
      <c r="B106" s="26"/>
      <c r="C106" s="26"/>
      <c r="D106" s="26"/>
      <c r="E106" s="26"/>
      <c r="F106" s="26"/>
      <c r="G106" s="26"/>
      <c r="H106" s="26"/>
      <c r="I106" s="26"/>
      <c r="J106" s="26"/>
      <c r="K106" s="26"/>
      <c r="L106" s="26"/>
      <c r="M106" s="26"/>
      <c r="N106" s="26"/>
      <c r="O106" s="26"/>
      <c r="P106" s="26"/>
      <c r="Q106" s="26"/>
      <c r="R106" s="17"/>
      <c r="S106" s="17"/>
      <c r="T106" s="17"/>
      <c r="U106" s="17"/>
      <c r="V106" s="17"/>
      <c r="W106" s="17"/>
      <c r="X106" s="17"/>
      <c r="Y106" s="17"/>
      <c r="Z106" s="17"/>
      <c r="AA106" s="17"/>
      <c r="AB106" s="17"/>
      <c r="AC106" s="17"/>
      <c r="AD106" s="17"/>
      <c r="AE106" s="17"/>
      <c r="AF106" s="17">
        <v>15.749999999541615</v>
      </c>
      <c r="AG106" s="17">
        <v>0.15985286757955333</v>
      </c>
      <c r="AH106" s="17"/>
      <c r="AI106" s="17"/>
      <c r="AJ106" s="17"/>
      <c r="AK106" s="17"/>
      <c r="AL106" s="17"/>
      <c r="AM106" s="17"/>
      <c r="AN106" s="17"/>
      <c r="AO106" s="17"/>
      <c r="AP106" s="26"/>
    </row>
    <row r="107" spans="1:42">
      <c r="A107" s="26"/>
      <c r="B107" s="26"/>
      <c r="C107" s="26"/>
      <c r="D107" s="26"/>
      <c r="E107" s="26"/>
      <c r="F107" s="26"/>
      <c r="G107" s="26"/>
      <c r="H107" s="26"/>
      <c r="I107" s="26"/>
      <c r="J107" s="26"/>
      <c r="K107" s="26"/>
      <c r="L107" s="26"/>
      <c r="M107" s="26"/>
      <c r="N107" s="26"/>
      <c r="O107" s="26"/>
      <c r="P107" s="26"/>
      <c r="Q107" s="26"/>
      <c r="R107" s="17"/>
      <c r="S107" s="17"/>
      <c r="T107" s="17"/>
      <c r="U107" s="17"/>
      <c r="V107" s="17"/>
      <c r="W107" s="17"/>
      <c r="X107" s="17"/>
      <c r="Y107" s="17"/>
      <c r="Z107" s="17"/>
      <c r="AA107" s="17"/>
      <c r="AB107" s="17"/>
      <c r="AC107" s="17"/>
      <c r="AD107" s="17"/>
      <c r="AE107" s="17"/>
      <c r="AF107" s="17">
        <v>15.916666666203431</v>
      </c>
      <c r="AG107" s="17">
        <v>0.15152089602760932</v>
      </c>
      <c r="AH107" s="17"/>
      <c r="AI107" s="17"/>
      <c r="AJ107" s="17"/>
      <c r="AK107" s="17"/>
      <c r="AL107" s="17"/>
      <c r="AM107" s="17"/>
      <c r="AN107" s="17"/>
      <c r="AO107" s="17"/>
      <c r="AP107" s="26"/>
    </row>
    <row r="108" spans="1:42">
      <c r="A108" s="26"/>
      <c r="B108" s="26"/>
      <c r="C108" s="26"/>
      <c r="D108" s="26"/>
      <c r="E108" s="26"/>
      <c r="F108" s="26"/>
      <c r="G108" s="26"/>
      <c r="H108" s="26"/>
      <c r="I108" s="26"/>
      <c r="J108" s="26"/>
      <c r="K108" s="26"/>
      <c r="L108" s="26"/>
      <c r="M108" s="26"/>
      <c r="N108" s="26"/>
      <c r="O108" s="26"/>
      <c r="P108" s="26"/>
      <c r="Q108" s="26"/>
      <c r="R108" s="17"/>
      <c r="S108" s="17"/>
      <c r="T108" s="17"/>
      <c r="U108" s="17"/>
      <c r="V108" s="17"/>
      <c r="W108" s="17"/>
      <c r="X108" s="17"/>
      <c r="Y108" s="17"/>
      <c r="Z108" s="17"/>
      <c r="AA108" s="17"/>
      <c r="AB108" s="17"/>
      <c r="AC108" s="17"/>
      <c r="AD108" s="17"/>
      <c r="AE108" s="17"/>
      <c r="AF108" s="17">
        <v>16.083333332865248</v>
      </c>
      <c r="AG108" s="17">
        <v>0.14044032861518979</v>
      </c>
      <c r="AH108" s="17"/>
      <c r="AI108" s="17"/>
      <c r="AJ108" s="17"/>
      <c r="AK108" s="17"/>
      <c r="AL108" s="17"/>
      <c r="AM108" s="17"/>
      <c r="AN108" s="17"/>
      <c r="AO108" s="17"/>
      <c r="AP108" s="26"/>
    </row>
    <row r="109" spans="1:42">
      <c r="A109" s="26"/>
      <c r="B109" s="26"/>
      <c r="C109" s="26"/>
      <c r="D109" s="26"/>
      <c r="E109" s="26"/>
      <c r="F109" s="26"/>
      <c r="G109" s="26"/>
      <c r="H109" s="26"/>
      <c r="I109" s="26"/>
      <c r="J109" s="26"/>
      <c r="K109" s="26"/>
      <c r="L109" s="26"/>
      <c r="M109" s="26"/>
      <c r="N109" s="26"/>
      <c r="O109" s="26"/>
      <c r="P109" s="26"/>
      <c r="Q109" s="26"/>
      <c r="R109" s="17"/>
      <c r="S109" s="17"/>
      <c r="T109" s="17"/>
      <c r="U109" s="17"/>
      <c r="V109" s="17"/>
      <c r="W109" s="17"/>
      <c r="X109" s="17"/>
      <c r="Y109" s="17"/>
      <c r="Z109" s="17"/>
      <c r="AA109" s="17"/>
      <c r="AB109" s="17"/>
      <c r="AC109" s="17"/>
      <c r="AD109" s="17"/>
      <c r="AE109" s="17"/>
      <c r="AF109" s="17">
        <v>16.249999999527063</v>
      </c>
      <c r="AG109" s="17">
        <v>0.1266111653423268</v>
      </c>
      <c r="AH109" s="17"/>
      <c r="AI109" s="17"/>
      <c r="AJ109" s="17"/>
      <c r="AK109" s="17"/>
      <c r="AL109" s="17"/>
      <c r="AM109" s="17"/>
      <c r="AN109" s="17"/>
      <c r="AO109" s="17"/>
      <c r="AP109" s="26"/>
    </row>
    <row r="110" spans="1:42">
      <c r="A110" s="26"/>
      <c r="B110" s="26"/>
      <c r="C110" s="26"/>
      <c r="D110" s="26"/>
      <c r="E110" s="26"/>
      <c r="F110" s="26"/>
      <c r="G110" s="26"/>
      <c r="H110" s="26"/>
      <c r="I110" s="26"/>
      <c r="J110" s="26"/>
      <c r="K110" s="26"/>
      <c r="L110" s="26"/>
      <c r="M110" s="26"/>
      <c r="N110" s="26"/>
      <c r="O110" s="26"/>
      <c r="P110" s="26"/>
      <c r="Q110" s="26"/>
      <c r="R110" s="17"/>
      <c r="S110" s="17"/>
      <c r="T110" s="17"/>
      <c r="U110" s="17"/>
      <c r="V110" s="17"/>
      <c r="W110" s="17"/>
      <c r="X110" s="17"/>
      <c r="Y110" s="17"/>
      <c r="Z110" s="17"/>
      <c r="AA110" s="17"/>
      <c r="AB110" s="17"/>
      <c r="AC110" s="17"/>
      <c r="AD110" s="17"/>
      <c r="AE110" s="17"/>
      <c r="AF110" s="17">
        <v>16.416666666188881</v>
      </c>
      <c r="AG110" s="17">
        <v>0.11003340620899534</v>
      </c>
      <c r="AH110" s="17"/>
      <c r="AI110" s="17"/>
      <c r="AJ110" s="17"/>
      <c r="AK110" s="17"/>
      <c r="AL110" s="17"/>
      <c r="AM110" s="17"/>
      <c r="AN110" s="17"/>
      <c r="AO110" s="17"/>
      <c r="AP110" s="26"/>
    </row>
    <row r="111" spans="1:42">
      <c r="A111" s="26"/>
      <c r="B111" s="26"/>
      <c r="C111" s="26"/>
      <c r="D111" s="26"/>
      <c r="E111" s="26"/>
      <c r="F111" s="26"/>
      <c r="G111" s="26"/>
      <c r="H111" s="26"/>
      <c r="I111" s="26"/>
      <c r="J111" s="26"/>
      <c r="K111" s="26"/>
      <c r="L111" s="26"/>
      <c r="M111" s="26"/>
      <c r="N111" s="26"/>
      <c r="O111" s="26"/>
      <c r="P111" s="26"/>
      <c r="Q111" s="26"/>
      <c r="R111" s="17"/>
      <c r="S111" s="17"/>
      <c r="T111" s="17"/>
      <c r="U111" s="17"/>
      <c r="V111" s="17"/>
      <c r="W111" s="17"/>
      <c r="X111" s="17"/>
      <c r="Y111" s="17"/>
      <c r="Z111" s="17"/>
      <c r="AA111" s="17"/>
      <c r="AB111" s="17"/>
      <c r="AC111" s="17"/>
      <c r="AD111" s="17"/>
      <c r="AE111" s="17"/>
      <c r="AF111" s="17">
        <v>16.583333332850696</v>
      </c>
      <c r="AG111" s="17">
        <v>9.0796104659417898E-2</v>
      </c>
      <c r="AH111" s="17"/>
      <c r="AI111" s="17"/>
      <c r="AJ111" s="17"/>
      <c r="AK111" s="17"/>
      <c r="AL111" s="17"/>
      <c r="AM111" s="17"/>
      <c r="AN111" s="17"/>
      <c r="AO111" s="17"/>
      <c r="AP111" s="26"/>
    </row>
    <row r="112" spans="1:42">
      <c r="A112" s="26"/>
      <c r="B112" s="26"/>
      <c r="C112" s="26"/>
      <c r="D112" s="26"/>
      <c r="E112" s="26"/>
      <c r="F112" s="26"/>
      <c r="G112" s="26"/>
      <c r="H112" s="26"/>
      <c r="I112" s="26"/>
      <c r="J112" s="26"/>
      <c r="K112" s="26"/>
      <c r="L112" s="26"/>
      <c r="M112" s="26"/>
      <c r="N112" s="26"/>
      <c r="O112" s="26"/>
      <c r="P112" s="26"/>
      <c r="Q112" s="26"/>
      <c r="R112" s="17"/>
      <c r="S112" s="17"/>
      <c r="T112" s="17"/>
      <c r="U112" s="17"/>
      <c r="V112" s="17"/>
      <c r="W112" s="17"/>
      <c r="X112" s="17"/>
      <c r="Y112" s="17"/>
      <c r="Z112" s="17"/>
      <c r="AA112" s="17"/>
      <c r="AB112" s="17"/>
      <c r="AC112" s="17"/>
      <c r="AD112" s="17"/>
      <c r="AE112" s="17"/>
      <c r="AF112" s="17">
        <v>16.749999999512511</v>
      </c>
      <c r="AG112" s="17">
        <v>7.1528407365751098E-2</v>
      </c>
      <c r="AH112" s="17"/>
      <c r="AI112" s="17"/>
      <c r="AJ112" s="17"/>
      <c r="AK112" s="17"/>
      <c r="AL112" s="17"/>
      <c r="AM112" s="17"/>
      <c r="AN112" s="17"/>
      <c r="AO112" s="17"/>
      <c r="AP112" s="26"/>
    </row>
    <row r="113" spans="1:42">
      <c r="A113" s="26"/>
      <c r="B113" s="26"/>
      <c r="C113" s="26"/>
      <c r="D113" s="26"/>
      <c r="E113" s="26"/>
      <c r="F113" s="26"/>
      <c r="G113" s="26"/>
      <c r="H113" s="26"/>
      <c r="I113" s="26"/>
      <c r="J113" s="26"/>
      <c r="K113" s="26"/>
      <c r="L113" s="26"/>
      <c r="M113" s="26"/>
      <c r="N113" s="26"/>
      <c r="O113" s="26"/>
      <c r="P113" s="26"/>
      <c r="Q113" s="26"/>
      <c r="R113" s="17"/>
      <c r="S113" s="17"/>
      <c r="T113" s="17"/>
      <c r="U113" s="17"/>
      <c r="V113" s="17"/>
      <c r="W113" s="17"/>
      <c r="X113" s="17"/>
      <c r="Y113" s="17"/>
      <c r="Z113" s="17"/>
      <c r="AA113" s="17"/>
      <c r="AB113" s="17"/>
      <c r="AC113" s="17"/>
      <c r="AD113" s="17"/>
      <c r="AE113" s="17"/>
      <c r="AF113" s="17">
        <v>16.916666666174329</v>
      </c>
      <c r="AG113" s="17">
        <v>5.5229495168737056E-2</v>
      </c>
      <c r="AH113" s="17"/>
      <c r="AI113" s="17"/>
      <c r="AJ113" s="17"/>
      <c r="AK113" s="17"/>
      <c r="AL113" s="17"/>
      <c r="AM113" s="17"/>
      <c r="AN113" s="17"/>
      <c r="AO113" s="17"/>
      <c r="AP113" s="26"/>
    </row>
    <row r="114" spans="1:42">
      <c r="A114" s="26"/>
      <c r="B114" s="26"/>
      <c r="C114" s="26"/>
      <c r="D114" s="26"/>
      <c r="E114" s="26"/>
      <c r="F114" s="26"/>
      <c r="G114" s="26"/>
      <c r="H114" s="26"/>
      <c r="I114" s="26"/>
      <c r="J114" s="26"/>
      <c r="K114" s="26"/>
      <c r="L114" s="26"/>
      <c r="M114" s="26"/>
      <c r="N114" s="26"/>
      <c r="O114" s="26"/>
      <c r="P114" s="26"/>
      <c r="Q114" s="26"/>
      <c r="R114" s="17"/>
      <c r="S114" s="17"/>
      <c r="T114" s="17"/>
      <c r="U114" s="17"/>
      <c r="V114" s="17"/>
      <c r="W114" s="17"/>
      <c r="X114" s="17"/>
      <c r="Y114" s="17"/>
      <c r="Z114" s="17"/>
      <c r="AA114" s="17"/>
      <c r="AB114" s="17"/>
      <c r="AC114" s="17"/>
      <c r="AD114" s="17"/>
      <c r="AE114" s="17"/>
      <c r="AF114" s="17">
        <v>17.083333332836144</v>
      </c>
      <c r="AG114" s="17">
        <v>4.2062830849575086E-2</v>
      </c>
      <c r="AH114" s="17"/>
      <c r="AI114" s="17"/>
      <c r="AJ114" s="17"/>
      <c r="AK114" s="17"/>
      <c r="AL114" s="17"/>
      <c r="AM114" s="17"/>
      <c r="AN114" s="17"/>
      <c r="AO114" s="17"/>
      <c r="AP114" s="26"/>
    </row>
    <row r="115" spans="1:42">
      <c r="AF115">
        <v>17.249999999497959</v>
      </c>
      <c r="AG115">
        <v>3.2028414408278541E-2</v>
      </c>
    </row>
    <row r="116" spans="1:42">
      <c r="AF116">
        <v>17.416666666159777</v>
      </c>
      <c r="AG116">
        <v>2.512624584484472E-2</v>
      </c>
    </row>
    <row r="117" spans="1:42">
      <c r="AF117">
        <v>17.583333332821592</v>
      </c>
      <c r="AG117">
        <v>2.135632515926341E-2</v>
      </c>
    </row>
    <row r="118" spans="1:42">
      <c r="AF118">
        <v>17.749999999483407</v>
      </c>
      <c r="AG118">
        <v>2.0718652351551969E-2</v>
      </c>
    </row>
    <row r="119" spans="1:42">
      <c r="AF119">
        <v>17.916666666145225</v>
      </c>
      <c r="AG119">
        <v>2.3213227421693038E-2</v>
      </c>
    </row>
    <row r="120" spans="1:42">
      <c r="AF120">
        <v>18.08333333280704</v>
      </c>
      <c r="AG120">
        <v>2.8840050369707777E-2</v>
      </c>
    </row>
    <row r="121" spans="1:42">
      <c r="AF121">
        <v>18.249999999468855</v>
      </c>
      <c r="AG121">
        <v>3.7599121195571385E-2</v>
      </c>
    </row>
    <row r="122" spans="1:42">
      <c r="AF122">
        <v>18.416666666130673</v>
      </c>
      <c r="AG122">
        <v>4.9363321138800424E-2</v>
      </c>
    </row>
    <row r="123" spans="1:42">
      <c r="AF123">
        <v>18.583333332792488</v>
      </c>
      <c r="AG123">
        <v>6.1882419953165145E-2</v>
      </c>
    </row>
    <row r="124" spans="1:42">
      <c r="AF124">
        <v>18.749999999454303</v>
      </c>
      <c r="AG124">
        <v>7.3226838171029554E-2</v>
      </c>
    </row>
    <row r="125" spans="1:42">
      <c r="AF125">
        <v>18.916666666116122</v>
      </c>
      <c r="AG125">
        <v>8.3334062666384198E-2</v>
      </c>
    </row>
    <row r="126" spans="1:42">
      <c r="AF126">
        <v>19.083333332777936</v>
      </c>
      <c r="AG126">
        <v>9.2204093439239077E-2</v>
      </c>
    </row>
    <row r="127" spans="1:42">
      <c r="AF127">
        <v>19.249999999439751</v>
      </c>
      <c r="AG127">
        <v>9.9836930489589415E-2</v>
      </c>
    </row>
    <row r="128" spans="1:42">
      <c r="AF128">
        <v>19.41666666610157</v>
      </c>
      <c r="AG128">
        <v>0.10623257381743467</v>
      </c>
    </row>
    <row r="129" spans="32:33">
      <c r="AF129">
        <v>19.583333332763385</v>
      </c>
      <c r="AG129">
        <v>0.11139102342277976</v>
      </c>
    </row>
    <row r="130" spans="32:33">
      <c r="AF130">
        <v>19.749999999425199</v>
      </c>
      <c r="AG130">
        <v>0.11531227930562646</v>
      </c>
    </row>
    <row r="131" spans="32:33">
      <c r="AF131">
        <v>19.916666666087018</v>
      </c>
      <c r="AG131">
        <v>0.11799634146595701</v>
      </c>
    </row>
    <row r="132" spans="32:33">
      <c r="AF132">
        <v>20.083333332748833</v>
      </c>
      <c r="AG132">
        <v>0.11944320990379786</v>
      </c>
    </row>
    <row r="133" spans="32:33">
      <c r="AF133">
        <v>20.249999999410647</v>
      </c>
      <c r="AG133">
        <v>0.1196528849520424</v>
      </c>
    </row>
    <row r="134" spans="32:33">
      <c r="AF134">
        <v>20.416666666072466</v>
      </c>
      <c r="AG134">
        <v>0.11864559597040157</v>
      </c>
    </row>
    <row r="135" spans="32:33">
      <c r="AF135">
        <v>20.583333332734281</v>
      </c>
      <c r="AG135">
        <v>0.1164961709960468</v>
      </c>
    </row>
    <row r="136" spans="32:33">
      <c r="AF136">
        <v>20.749999999396096</v>
      </c>
      <c r="AG136">
        <v>0.11322190765716919</v>
      </c>
    </row>
    <row r="137" spans="32:33">
      <c r="AF137">
        <v>20.916666666057914</v>
      </c>
      <c r="AG137">
        <v>0.10882280595373997</v>
      </c>
    </row>
    <row r="138" spans="32:33">
      <c r="AF138">
        <v>21.083333332719729</v>
      </c>
      <c r="AG138">
        <v>0.1032988658857914</v>
      </c>
    </row>
    <row r="139" spans="32:33">
      <c r="AF139">
        <v>21.249999999381544</v>
      </c>
      <c r="AG139">
        <v>9.6650087453303432E-2</v>
      </c>
    </row>
    <row r="140" spans="32:33">
      <c r="AF140">
        <v>21.416666666043362</v>
      </c>
      <c r="AG140">
        <v>8.887647065628014E-2</v>
      </c>
    </row>
    <row r="141" spans="32:33">
      <c r="AF141">
        <v>21.583333332705177</v>
      </c>
      <c r="AG141">
        <v>7.9978015494721999E-2</v>
      </c>
    </row>
    <row r="142" spans="32:33">
      <c r="AF142">
        <v>21.749999999366992</v>
      </c>
      <c r="AG142">
        <v>6.9954721968634143E-2</v>
      </c>
    </row>
    <row r="143" spans="32:33">
      <c r="AF143">
        <v>21.91666666602881</v>
      </c>
      <c r="AG143">
        <v>5.88065900780061E-2</v>
      </c>
    </row>
    <row r="144" spans="32:33">
      <c r="AF144">
        <v>22.083333332690625</v>
      </c>
      <c r="AG144">
        <v>4.6533619822849266E-2</v>
      </c>
    </row>
    <row r="145" spans="32:33">
      <c r="AF145">
        <v>22.24999999935244</v>
      </c>
      <c r="AG145">
        <v>3.3453987741167243E-2</v>
      </c>
    </row>
    <row r="146" spans="32:33">
      <c r="AF146">
        <v>22.416666666014258</v>
      </c>
      <c r="AG146">
        <v>2.2849231532220765E-2</v>
      </c>
    </row>
    <row r="147" spans="32:33">
      <c r="AF147">
        <v>22.583333332676073</v>
      </c>
      <c r="AG147">
        <v>1.6653829754266387E-2</v>
      </c>
    </row>
    <row r="148" spans="32:33">
      <c r="AF148">
        <v>22.749999999337888</v>
      </c>
      <c r="AG148">
        <v>1.4892729001722782E-2</v>
      </c>
    </row>
    <row r="149" spans="32:33">
      <c r="AF149">
        <v>22.916666665999706</v>
      </c>
      <c r="AG149">
        <v>1.7565929274594209E-2</v>
      </c>
    </row>
    <row r="150" spans="32:33">
      <c r="AF150">
        <v>23.083333332661521</v>
      </c>
      <c r="AG150">
        <v>2.46734305728805E-2</v>
      </c>
    </row>
    <row r="151" spans="32:33">
      <c r="AF151">
        <v>23.249999999323336</v>
      </c>
      <c r="AG151">
        <v>3.6215232896583231E-2</v>
      </c>
    </row>
    <row r="152" spans="32:33">
      <c r="AF152">
        <v>23.416666665985154</v>
      </c>
      <c r="AG152">
        <v>5.2191336245700826E-2</v>
      </c>
    </row>
    <row r="153" spans="32:33">
      <c r="AF153">
        <v>23.583333332646969</v>
      </c>
      <c r="AG153">
        <v>7.2601740620226937E-2</v>
      </c>
    </row>
    <row r="154" spans="32:33">
      <c r="AF154">
        <v>23.749999999308784</v>
      </c>
      <c r="AG154">
        <v>9.7446446020171523E-2</v>
      </c>
    </row>
    <row r="155" spans="32:33">
      <c r="AF155">
        <v>23.916666665970602</v>
      </c>
      <c r="AG155">
        <v>0.12664223454759488</v>
      </c>
    </row>
    <row r="156" spans="32:33">
      <c r="AF156">
        <v>24.083333332632417</v>
      </c>
      <c r="AG156">
        <v>0.15579723800793013</v>
      </c>
    </row>
    <row r="157" spans="32:33">
      <c r="AF157">
        <v>24.249999999294232</v>
      </c>
      <c r="AG157">
        <v>0.17842893593850401</v>
      </c>
    </row>
    <row r="158" spans="32:33">
      <c r="AF158">
        <v>24.416666665956051</v>
      </c>
      <c r="AG158">
        <v>0.19401600699589056</v>
      </c>
    </row>
    <row r="159" spans="32:33">
      <c r="AF159">
        <v>24.583333332617865</v>
      </c>
      <c r="AG159">
        <v>0.20255845118011012</v>
      </c>
    </row>
    <row r="160" spans="32:33">
      <c r="AF160">
        <v>24.74999999927968</v>
      </c>
      <c r="AG160">
        <v>0.20405626849114902</v>
      </c>
    </row>
    <row r="161" spans="32:33">
      <c r="AF161">
        <v>24.916666665941499</v>
      </c>
      <c r="AG161">
        <v>0.19850945892901559</v>
      </c>
    </row>
    <row r="162" spans="32:33">
      <c r="AF162">
        <v>25.083333332603313</v>
      </c>
      <c r="AG162">
        <v>0.1859180224937102</v>
      </c>
    </row>
    <row r="163" spans="32:33">
      <c r="AF163">
        <v>25.249999999265128</v>
      </c>
      <c r="AG163">
        <v>0.16628195918522876</v>
      </c>
    </row>
    <row r="164" spans="32:33">
      <c r="AF164">
        <v>25.416666665926947</v>
      </c>
      <c r="AG164">
        <v>0.13990139193444354</v>
      </c>
    </row>
    <row r="165" spans="32:33">
      <c r="AF165">
        <v>25.583333332588762</v>
      </c>
      <c r="AG165">
        <v>0.11418113081584172</v>
      </c>
    </row>
    <row r="166" spans="32:33">
      <c r="AF166">
        <v>25.749999999250576</v>
      </c>
      <c r="AG166">
        <v>9.6816091294765316E-2</v>
      </c>
    </row>
    <row r="167" spans="32:33">
      <c r="AF167">
        <v>25.916666665912395</v>
      </c>
      <c r="AG167">
        <v>8.8164444243533133E-2</v>
      </c>
    </row>
    <row r="168" spans="32:33">
      <c r="AF168">
        <v>26.08333333257421</v>
      </c>
      <c r="AG168">
        <v>8.8226189662140422E-2</v>
      </c>
    </row>
    <row r="169" spans="32:33">
      <c r="AF169">
        <v>26.249999999236024</v>
      </c>
      <c r="AG169">
        <v>9.7001327550587491E-2</v>
      </c>
    </row>
    <row r="170" spans="32:33">
      <c r="AF170">
        <v>26.416666665897843</v>
      </c>
      <c r="AG170">
        <v>0.11448985790887402</v>
      </c>
    </row>
    <row r="171" spans="32:33">
      <c r="AF171">
        <v>26.583333332559658</v>
      </c>
      <c r="AG171">
        <v>0.14062539494400084</v>
      </c>
    </row>
    <row r="172" spans="32:33">
      <c r="AF172">
        <v>26.749999999221473</v>
      </c>
      <c r="AG172">
        <v>0.16976529835537077</v>
      </c>
    </row>
    <row r="173" spans="32:33">
      <c r="AF173">
        <v>26.916666665883291</v>
      </c>
      <c r="AG173">
        <v>0.19204624610164212</v>
      </c>
    </row>
    <row r="174" spans="32:33">
      <c r="AF174">
        <v>27.083333332545106</v>
      </c>
      <c r="AG174">
        <v>0.20647427355922726</v>
      </c>
    </row>
    <row r="175" spans="32:33">
      <c r="AF175">
        <v>27.249999999206921</v>
      </c>
      <c r="AG175">
        <v>0.21304938072812343</v>
      </c>
    </row>
    <row r="176" spans="32:33">
      <c r="AF176">
        <v>27.416666665868739</v>
      </c>
      <c r="AG176">
        <v>0.21177156760834406</v>
      </c>
    </row>
    <row r="177" spans="32:33">
      <c r="AF177">
        <v>27.583333332530554</v>
      </c>
      <c r="AG177">
        <v>0.2032768718520914</v>
      </c>
    </row>
    <row r="178" spans="32:33">
      <c r="AF178">
        <v>27.749999999192369</v>
      </c>
      <c r="AG178">
        <v>0.19426201815691357</v>
      </c>
    </row>
    <row r="179" spans="32:33">
      <c r="AF179">
        <v>27.916666665854187</v>
      </c>
      <c r="AG179">
        <v>0.18873791502729637</v>
      </c>
    </row>
    <row r="180" spans="32:33">
      <c r="AF180">
        <v>28.083333332516002</v>
      </c>
      <c r="AG180">
        <v>0.18675878477281735</v>
      </c>
    </row>
    <row r="181" spans="32:33">
      <c r="AF181">
        <v>28.249999999177817</v>
      </c>
      <c r="AG181">
        <v>0.18891800039503967</v>
      </c>
    </row>
    <row r="182" spans="32:33">
      <c r="AF182">
        <v>28.416666665839635</v>
      </c>
      <c r="AG182">
        <v>0.20971006461999539</v>
      </c>
    </row>
    <row r="183" spans="32:33">
      <c r="AF183">
        <v>28.58333333250145</v>
      </c>
      <c r="AG183">
        <v>0.26411621571044847</v>
      </c>
    </row>
    <row r="184" spans="32:33">
      <c r="AF184">
        <v>28.749999999163265</v>
      </c>
      <c r="AG184">
        <v>0.35275028446525858</v>
      </c>
    </row>
    <row r="185" spans="32:33">
      <c r="AF185">
        <v>28.916666665825083</v>
      </c>
      <c r="AG185">
        <v>0.47261297084973675</v>
      </c>
    </row>
    <row r="186" spans="32:33">
      <c r="AF186">
        <v>29.083333332486898</v>
      </c>
      <c r="AG186">
        <v>0.61982659356890624</v>
      </c>
    </row>
    <row r="187" spans="32:33">
      <c r="AF187">
        <v>29.249999999148713</v>
      </c>
      <c r="AG187">
        <v>0.80163864442966437</v>
      </c>
    </row>
    <row r="188" spans="32:33">
      <c r="AF188">
        <v>29.416666665810531</v>
      </c>
      <c r="AG188">
        <v>1.0365116051287664</v>
      </c>
    </row>
    <row r="189" spans="32:33">
      <c r="AF189">
        <v>29.583333332472346</v>
      </c>
      <c r="AG189">
        <v>1.3296797414457175</v>
      </c>
    </row>
    <row r="190" spans="32:33">
      <c r="AF190">
        <v>29.749999999134161</v>
      </c>
      <c r="AG190">
        <v>1.6215544954413907</v>
      </c>
    </row>
    <row r="191" spans="32:33">
      <c r="AF191">
        <v>29.916666665795979</v>
      </c>
      <c r="AG191">
        <v>1.8288097667719159</v>
      </c>
    </row>
    <row r="192" spans="32:33">
      <c r="AF192">
        <v>30.083333332457794</v>
      </c>
      <c r="AG192">
        <v>1.8445268238974855</v>
      </c>
    </row>
    <row r="193" spans="32:33">
      <c r="AF193">
        <v>30.249999999119609</v>
      </c>
      <c r="AG193">
        <v>1.6197147970926158</v>
      </c>
    </row>
    <row r="194" spans="32:33">
      <c r="AF194">
        <v>30.416666665781428</v>
      </c>
      <c r="AG194">
        <v>1.2914343388834553</v>
      </c>
    </row>
    <row r="195" spans="32:33">
      <c r="AF195">
        <v>30.583333332443242</v>
      </c>
      <c r="AG195">
        <v>0.98121690586699095</v>
      </c>
    </row>
    <row r="196" spans="32:33">
      <c r="AF196">
        <v>30.749999999105057</v>
      </c>
      <c r="AG196">
        <v>0.71052571874389892</v>
      </c>
    </row>
    <row r="197" spans="32:33">
      <c r="AF197">
        <v>30.916666665766876</v>
      </c>
      <c r="AG197">
        <v>0.49848959977411633</v>
      </c>
    </row>
    <row r="198" spans="32:33">
      <c r="AF198">
        <v>31.08333333242869</v>
      </c>
      <c r="AG198">
        <v>0.38645127890799197</v>
      </c>
    </row>
    <row r="199" spans="32:33">
      <c r="AF199">
        <v>31.249999999090505</v>
      </c>
      <c r="AG199">
        <v>0.34386216188162638</v>
      </c>
    </row>
    <row r="200" spans="32:33">
      <c r="AF200">
        <v>31.416666665752324</v>
      </c>
      <c r="AG200">
        <v>0.30360564289503511</v>
      </c>
    </row>
    <row r="201" spans="32:33">
      <c r="AF201">
        <v>31.583333332414139</v>
      </c>
      <c r="AG201">
        <v>0.25791636225447623</v>
      </c>
    </row>
    <row r="202" spans="32:33">
      <c r="AF202">
        <v>31.749999999075953</v>
      </c>
      <c r="AG202">
        <v>0.2114833024836425</v>
      </c>
    </row>
    <row r="203" spans="32:33">
      <c r="AF203">
        <v>31.916666665737772</v>
      </c>
      <c r="AG203">
        <v>0.17250068758477777</v>
      </c>
    </row>
    <row r="204" spans="32:33">
      <c r="AF204">
        <v>32.08333333239959</v>
      </c>
      <c r="AG204">
        <v>0.14179400984328441</v>
      </c>
    </row>
    <row r="205" spans="32:33">
      <c r="AF205">
        <v>32.249999999061401</v>
      </c>
      <c r="AG205">
        <v>0.11936185638369898</v>
      </c>
    </row>
    <row r="206" spans="32:33">
      <c r="AF206">
        <v>32.41666666572322</v>
      </c>
      <c r="AG206">
        <v>0.10421414606559251</v>
      </c>
    </row>
    <row r="207" spans="32:33">
      <c r="AF207">
        <v>32.583333332385038</v>
      </c>
      <c r="AG207">
        <v>9.3628140021396536E-2</v>
      </c>
    </row>
    <row r="208" spans="32:33">
      <c r="AF208">
        <v>32.74999999904685</v>
      </c>
      <c r="AG208">
        <v>8.7139876718216769E-2</v>
      </c>
    </row>
    <row r="209" spans="32:33">
      <c r="AF209">
        <v>32.916666665708668</v>
      </c>
      <c r="AG209">
        <v>8.4749356156052419E-2</v>
      </c>
    </row>
    <row r="210" spans="32:33">
      <c r="AF210">
        <v>33.083333332370486</v>
      </c>
      <c r="AG210">
        <v>8.6456578334913936E-2</v>
      </c>
    </row>
    <row r="211" spans="32:33">
      <c r="AF211">
        <v>33.249999999032298</v>
      </c>
      <c r="AG211">
        <v>9.2237907993276885E-2</v>
      </c>
    </row>
    <row r="212" spans="32:33">
      <c r="AF212">
        <v>33.416666665694116</v>
      </c>
      <c r="AG212">
        <v>0.10072533132779764</v>
      </c>
    </row>
    <row r="213" spans="32:33">
      <c r="AF213">
        <v>33.583333332355934</v>
      </c>
      <c r="AG213">
        <v>0.10982674451530365</v>
      </c>
    </row>
    <row r="214" spans="32:33">
      <c r="AF214">
        <v>33.749999999017746</v>
      </c>
      <c r="AG214">
        <v>0.11936545109721793</v>
      </c>
    </row>
    <row r="215" spans="32:33">
      <c r="AF215">
        <v>33.916666665679564</v>
      </c>
      <c r="AG215">
        <v>0.12934145107350972</v>
      </c>
    </row>
    <row r="216" spans="32:33">
      <c r="AF216">
        <v>34.083333332341383</v>
      </c>
      <c r="AG216">
        <v>0.13975474444422642</v>
      </c>
    </row>
    <row r="217" spans="32:33">
      <c r="AF217">
        <v>34.249999999003194</v>
      </c>
      <c r="AG217">
        <v>0.15060533120932063</v>
      </c>
    </row>
    <row r="218" spans="32:33">
      <c r="AF218">
        <v>34.416666665665012</v>
      </c>
      <c r="AG218">
        <v>0.16189321136881504</v>
      </c>
    </row>
    <row r="219" spans="32:33">
      <c r="AF219">
        <v>34.583333332326831</v>
      </c>
      <c r="AG219">
        <v>0.17356904269832249</v>
      </c>
    </row>
    <row r="220" spans="32:33">
      <c r="AF220">
        <v>34.749999998988642</v>
      </c>
      <c r="AG220">
        <v>0.18397634257876447</v>
      </c>
    </row>
    <row r="221" spans="32:33">
      <c r="AF221">
        <v>34.91666666565046</v>
      </c>
      <c r="AG221">
        <v>0.1911035071081672</v>
      </c>
    </row>
    <row r="222" spans="32:33">
      <c r="AF222">
        <v>35.083333332312279</v>
      </c>
      <c r="AG222">
        <v>0.19482932876361497</v>
      </c>
    </row>
    <row r="223" spans="32:33">
      <c r="AF223">
        <v>35.24999999897409</v>
      </c>
      <c r="AG223">
        <v>0.19515380754506823</v>
      </c>
    </row>
    <row r="224" spans="32:33">
      <c r="AF224">
        <v>35.416666665635908</v>
      </c>
      <c r="AG224">
        <v>0.19207694345259096</v>
      </c>
    </row>
    <row r="225" spans="32:33">
      <c r="AF225">
        <v>35.583333332297727</v>
      </c>
      <c r="AG225">
        <v>0.18559873648612665</v>
      </c>
    </row>
    <row r="226" spans="32:33">
      <c r="AF226">
        <v>35.749999998959538</v>
      </c>
      <c r="AG226">
        <v>0.1757191866457212</v>
      </c>
    </row>
    <row r="227" spans="32:33">
      <c r="AF227">
        <v>35.916666665621356</v>
      </c>
      <c r="AG227">
        <v>0.16243829393133066</v>
      </c>
    </row>
    <row r="228" spans="32:33">
      <c r="AF228">
        <v>36.083333332283175</v>
      </c>
      <c r="AG228">
        <v>0.1457560583429876</v>
      </c>
    </row>
    <row r="229" spans="32:33">
      <c r="AF229">
        <v>36.249999998944986</v>
      </c>
      <c r="AG229">
        <v>0.12567247988068078</v>
      </c>
    </row>
    <row r="230" spans="32:33">
      <c r="AF230">
        <v>36.416666665606805</v>
      </c>
      <c r="AG230">
        <v>0.1027897393993018</v>
      </c>
    </row>
    <row r="231" spans="32:33">
      <c r="AF231">
        <v>36.583333332268623</v>
      </c>
      <c r="AG231">
        <v>8.0946730594582281E-2</v>
      </c>
    </row>
    <row r="232" spans="32:33">
      <c r="AF232">
        <v>36.749999998930434</v>
      </c>
      <c r="AG232">
        <v>6.1650843917024634E-2</v>
      </c>
    </row>
    <row r="233" spans="32:33">
      <c r="AF233">
        <v>36.916666665592253</v>
      </c>
      <c r="AG233">
        <v>4.4905652171100124E-2</v>
      </c>
    </row>
    <row r="234" spans="32:33">
      <c r="AF234">
        <v>37.083333332254071</v>
      </c>
      <c r="AG234">
        <v>3.0711155356813659E-2</v>
      </c>
    </row>
    <row r="235" spans="32:33">
      <c r="AF235">
        <v>37.249999998915882</v>
      </c>
      <c r="AG235">
        <v>1.9067353474139008E-2</v>
      </c>
    </row>
    <row r="236" spans="32:33">
      <c r="AF236">
        <v>37.416666665577701</v>
      </c>
      <c r="AG236">
        <v>9.9742465231066613E-3</v>
      </c>
    </row>
    <row r="237" spans="32:33">
      <c r="AF237">
        <v>37.583333332239519</v>
      </c>
      <c r="AG237">
        <v>3.4318345036940196E-3</v>
      </c>
    </row>
    <row r="238" spans="32:33">
      <c r="AF238">
        <v>37.74999999890133</v>
      </c>
      <c r="AG238">
        <v>-5.5988258408697902E-4</v>
      </c>
    </row>
    <row r="239" spans="32:33">
      <c r="AF239">
        <v>37.916666665563149</v>
      </c>
      <c r="AG239">
        <v>-2.0009047402368462E-3</v>
      </c>
    </row>
    <row r="240" spans="32:33">
      <c r="AF240">
        <v>38.083333332224967</v>
      </c>
      <c r="AG240">
        <v>-8.9123196475532536E-4</v>
      </c>
    </row>
    <row r="241" spans="32:33">
      <c r="AF241">
        <v>38.249999998886778</v>
      </c>
      <c r="AG241">
        <v>2.7691357423573269E-3</v>
      </c>
    </row>
    <row r="242" spans="32:33">
      <c r="AF242">
        <v>38.416666665548597</v>
      </c>
      <c r="AG242">
        <v>8.9801983810802628E-3</v>
      </c>
    </row>
    <row r="243" spans="32:33">
      <c r="AF243">
        <v>38.583333332210415</v>
      </c>
      <c r="AG243">
        <v>1.7741842462855113E-2</v>
      </c>
    </row>
    <row r="244" spans="32:33">
      <c r="AF244">
        <v>38.749999998872227</v>
      </c>
      <c r="AG244">
        <v>2.8356837067644795E-2</v>
      </c>
    </row>
    <row r="245" spans="32:33">
      <c r="AF245">
        <v>38.916666665534045</v>
      </c>
      <c r="AG245">
        <v>3.847842439040336E-2</v>
      </c>
    </row>
    <row r="246" spans="32:33">
      <c r="AF246">
        <v>39.083333332195863</v>
      </c>
      <c r="AG246">
        <v>4.761339102953549E-2</v>
      </c>
    </row>
    <row r="247" spans="32:33">
      <c r="AF247">
        <v>39.249999998857675</v>
      </c>
      <c r="AG247">
        <v>5.5761736985035441E-2</v>
      </c>
    </row>
    <row r="248" spans="32:33">
      <c r="AF248">
        <v>39.416666665519493</v>
      </c>
      <c r="AG248">
        <v>6.2923462256904275E-2</v>
      </c>
    </row>
    <row r="249" spans="32:33">
      <c r="AF249">
        <v>39.583333332181311</v>
      </c>
      <c r="AG249">
        <v>6.9098566845133921E-2</v>
      </c>
    </row>
    <row r="250" spans="32:33">
      <c r="AF250">
        <v>39.749999998843123</v>
      </c>
      <c r="AG250">
        <v>7.4287050749743108E-2</v>
      </c>
    </row>
    <row r="251" spans="32:33">
      <c r="AF251">
        <v>39.916666665504941</v>
      </c>
      <c r="AG251">
        <v>7.848891397072183E-2</v>
      </c>
    </row>
    <row r="252" spans="32:33">
      <c r="AF252">
        <v>40.08333333216676</v>
      </c>
      <c r="AG252">
        <v>8.170415650804938E-2</v>
      </c>
    </row>
    <row r="253" spans="32:33">
      <c r="AF253">
        <v>40.249999998828571</v>
      </c>
      <c r="AG253">
        <v>8.3932778361767796E-2</v>
      </c>
    </row>
    <row r="254" spans="32:33">
      <c r="AF254">
        <v>40.416666665490389</v>
      </c>
      <c r="AG254">
        <v>8.5174779531845365E-2</v>
      </c>
    </row>
    <row r="255" spans="32:33">
      <c r="AF255">
        <v>40.583333332152208</v>
      </c>
      <c r="AG255">
        <v>8.5430160018281867E-2</v>
      </c>
    </row>
    <row r="256" spans="32:33">
      <c r="AF256">
        <v>40.749999998814019</v>
      </c>
      <c r="AG256">
        <v>8.4698919821098839E-2</v>
      </c>
    </row>
    <row r="257" spans="32:33">
      <c r="AF257">
        <v>40.916666665475837</v>
      </c>
      <c r="AG257">
        <v>8.298105894028554E-2</v>
      </c>
    </row>
    <row r="258" spans="32:33">
      <c r="AF258">
        <v>41.083333332137656</v>
      </c>
      <c r="AG258">
        <v>8.0276577375820696E-2</v>
      </c>
    </row>
    <row r="259" spans="32:33">
      <c r="AF259">
        <v>41.249999998799467</v>
      </c>
      <c r="AG259">
        <v>7.6585475127746896E-2</v>
      </c>
    </row>
    <row r="260" spans="32:33">
      <c r="AF260">
        <v>41.416666665461285</v>
      </c>
      <c r="AG260">
        <v>7.1907752196031696E-2</v>
      </c>
    </row>
    <row r="261" spans="32:33">
      <c r="AF261">
        <v>41.583333332123104</v>
      </c>
      <c r="AG261">
        <v>6.6270345324606059E-2</v>
      </c>
    </row>
    <row r="262" spans="32:33">
      <c r="AF262">
        <v>41.749999998784915</v>
      </c>
      <c r="AG262">
        <v>6.0315800190866985E-2</v>
      </c>
    </row>
    <row r="263" spans="32:33">
      <c r="AF263">
        <v>41.916666665446733</v>
      </c>
      <c r="AG263">
        <v>5.4699706434634753E-2</v>
      </c>
    </row>
    <row r="264" spans="32:33">
      <c r="AF264">
        <v>42.083333332108552</v>
      </c>
      <c r="AG264">
        <v>4.9451609922659082E-2</v>
      </c>
    </row>
    <row r="265" spans="32:33">
      <c r="AF265">
        <v>42.249999998770363</v>
      </c>
      <c r="AG265">
        <v>4.4571510654904327E-2</v>
      </c>
    </row>
    <row r="266" spans="32:33">
      <c r="AF266">
        <v>42.416666665432182</v>
      </c>
      <c r="AG266">
        <v>4.0059408631401845E-2</v>
      </c>
    </row>
    <row r="267" spans="32:33">
      <c r="AF267">
        <v>42.583333332094</v>
      </c>
      <c r="AG267">
        <v>3.5915303852135858E-2</v>
      </c>
    </row>
    <row r="268" spans="32:33">
      <c r="AF268">
        <v>42.749999998755811</v>
      </c>
      <c r="AG268">
        <v>3.2139196317100827E-2</v>
      </c>
    </row>
    <row r="269" spans="32:33">
      <c r="AF269">
        <v>42.91666666541763</v>
      </c>
      <c r="AG269">
        <v>2.8731086026328238E-2</v>
      </c>
    </row>
    <row r="270" spans="32:33">
      <c r="AF270">
        <v>43.083333332079448</v>
      </c>
      <c r="AG270">
        <v>2.5690972979771791E-2</v>
      </c>
    </row>
    <row r="271" spans="32:33">
      <c r="AF271">
        <v>43.249999998741259</v>
      </c>
      <c r="AG271">
        <v>2.3018857177456477E-2</v>
      </c>
    </row>
    <row r="272" spans="32:33">
      <c r="AF272">
        <v>43.416666665403078</v>
      </c>
      <c r="AG272">
        <v>2.0714738619403268E-2</v>
      </c>
    </row>
    <row r="273" spans="32:33">
      <c r="AF273">
        <v>43.583333332064896</v>
      </c>
      <c r="AG273">
        <v>1.8778617305566882E-2</v>
      </c>
    </row>
    <row r="274" spans="32:33">
      <c r="AF274">
        <v>43.749999998726707</v>
      </c>
      <c r="AG274">
        <v>1.7210493235971284E-2</v>
      </c>
    </row>
    <row r="275" spans="32:33">
      <c r="AF275">
        <v>43.916666665388526</v>
      </c>
      <c r="AG275">
        <v>1.6010366410626933E-2</v>
      </c>
    </row>
    <row r="276" spans="32:33">
      <c r="AF276">
        <v>44.083333332050344</v>
      </c>
      <c r="AG276">
        <v>1.5178236829521123E-2</v>
      </c>
    </row>
    <row r="277" spans="32:33">
      <c r="AF277">
        <v>44.249999998712156</v>
      </c>
      <c r="AG277">
        <v>1.4714104492645244E-2</v>
      </c>
    </row>
    <row r="278" spans="32:33">
      <c r="AF278">
        <v>44.416666665373974</v>
      </c>
      <c r="AG278">
        <v>1.4617969400020553E-2</v>
      </c>
    </row>
    <row r="279" spans="32:33">
      <c r="AF279">
        <v>44.583333332035792</v>
      </c>
      <c r="AG279">
        <v>1.4889831551623864E-2</v>
      </c>
    </row>
    <row r="280" spans="32:33">
      <c r="AF280">
        <v>44.749999998697604</v>
      </c>
      <c r="AG280">
        <v>1.5529690947467704E-2</v>
      </c>
    </row>
    <row r="281" spans="32:33">
      <c r="AF281">
        <v>44.916666665359422</v>
      </c>
      <c r="AG281">
        <v>1.6537547587562811E-2</v>
      </c>
    </row>
    <row r="282" spans="32:33">
      <c r="AF282">
        <v>45.08333333202124</v>
      </c>
      <c r="AG282">
        <v>1.7913401471896417E-2</v>
      </c>
    </row>
    <row r="283" spans="32:33">
      <c r="AF283">
        <v>45.249999998683052</v>
      </c>
      <c r="AG283">
        <v>1.9654218593131847E-2</v>
      </c>
    </row>
    <row r="284" spans="32:33">
      <c r="AF284">
        <v>45.41666666534487</v>
      </c>
      <c r="AG284">
        <v>2.1593964282637296E-2</v>
      </c>
    </row>
    <row r="285" spans="32:33">
      <c r="AF285">
        <v>45.583333332006688</v>
      </c>
      <c r="AG285">
        <v>2.3484089048332237E-2</v>
      </c>
    </row>
    <row r="286" spans="32:33">
      <c r="AF286">
        <v>45.7499999986685</v>
      </c>
      <c r="AG286">
        <v>2.5304209193088633E-2</v>
      </c>
    </row>
    <row r="287" spans="32:33">
      <c r="AF287">
        <v>45.916666665330318</v>
      </c>
      <c r="AG287">
        <v>2.7054324716896068E-2</v>
      </c>
    </row>
    <row r="288" spans="32:33">
      <c r="AF288">
        <v>46.083333331992137</v>
      </c>
      <c r="AG288">
        <v>2.8734435619729756E-2</v>
      </c>
    </row>
    <row r="289" spans="32:33">
      <c r="AF289">
        <v>46.249999998653948</v>
      </c>
      <c r="AG289">
        <v>3.0344541901635796E-2</v>
      </c>
    </row>
    <row r="290" spans="32:33">
      <c r="AF290">
        <v>46.416666665315766</v>
      </c>
      <c r="AG290">
        <v>3.1884643562571757E-2</v>
      </c>
    </row>
    <row r="291" spans="32:33">
      <c r="AF291">
        <v>46.583333331977585</v>
      </c>
      <c r="AG291">
        <v>3.3354740602565547E-2</v>
      </c>
    </row>
    <row r="292" spans="32:33">
      <c r="AF292">
        <v>46.749999998639396</v>
      </c>
      <c r="AG292">
        <v>3.4754833021599908E-2</v>
      </c>
    </row>
    <row r="293" spans="32:33">
      <c r="AF293">
        <v>46.916666665301214</v>
      </c>
      <c r="AG293">
        <v>3.6084920819685694E-2</v>
      </c>
    </row>
    <row r="294" spans="32:33">
      <c r="AF294">
        <v>47.083333331963033</v>
      </c>
      <c r="AG294">
        <v>3.734500399682894E-2</v>
      </c>
    </row>
    <row r="295" spans="32:33">
      <c r="AF295">
        <v>47.249999998624844</v>
      </c>
      <c r="AG295">
        <v>3.8535082553002288E-2</v>
      </c>
    </row>
    <row r="296" spans="32:33">
      <c r="AF296">
        <v>47.416666665286662</v>
      </c>
      <c r="AG296">
        <v>3.9655156488237864E-2</v>
      </c>
    </row>
    <row r="297" spans="32:33">
      <c r="AF297">
        <v>47.583333331948481</v>
      </c>
      <c r="AG297">
        <v>4.0705225802519944E-2</v>
      </c>
    </row>
    <row r="298" spans="32:33">
      <c r="AF298">
        <v>47.749999998610292</v>
      </c>
      <c r="AG298">
        <v>4.1685290495853587E-2</v>
      </c>
    </row>
    <row r="299" spans="32:33">
      <c r="AF299">
        <v>47.91666666527211</v>
      </c>
      <c r="AG299">
        <v>4.2595350568217616E-2</v>
      </c>
    </row>
    <row r="300" spans="32:33">
      <c r="AF300">
        <v>48.083333331933929</v>
      </c>
      <c r="AG300">
        <v>4.3435406019638551E-2</v>
      </c>
    </row>
    <row r="301" spans="32:33">
      <c r="AF301">
        <v>48.24999999859574</v>
      </c>
      <c r="AG301">
        <v>4.4205456850121845E-2</v>
      </c>
    </row>
    <row r="302" spans="32:33">
      <c r="AF302">
        <v>48.416666665257559</v>
      </c>
      <c r="AG302">
        <v>4.4905503059635608E-2</v>
      </c>
    </row>
    <row r="303" spans="32:33">
      <c r="AF303">
        <v>48.583333331919377</v>
      </c>
      <c r="AG303">
        <v>4.5535544648195432E-2</v>
      </c>
    </row>
    <row r="304" spans="32:33">
      <c r="AF304">
        <v>48.749999998581188</v>
      </c>
      <c r="AG304">
        <v>4.6095581615817699E-2</v>
      </c>
    </row>
    <row r="305" spans="32:33">
      <c r="AF305">
        <v>48.916666665243007</v>
      </c>
      <c r="AG305">
        <v>4.6585613962481183E-2</v>
      </c>
    </row>
    <row r="306" spans="32:33">
      <c r="AF306">
        <v>49.083333331904825</v>
      </c>
      <c r="AG306">
        <v>4.7005641688201233E-2</v>
      </c>
    </row>
    <row r="307" spans="32:33">
      <c r="AF307">
        <v>49.249999998566636</v>
      </c>
      <c r="AG307">
        <v>4.7355664792951828E-2</v>
      </c>
    </row>
    <row r="308" spans="32:33">
      <c r="AF308">
        <v>49.416666665228455</v>
      </c>
      <c r="AG308">
        <v>4.763568327675434E-2</v>
      </c>
    </row>
    <row r="309" spans="32:33">
      <c r="AF309">
        <v>49.583333331890273</v>
      </c>
      <c r="AG309">
        <v>4.7845697139623979E-2</v>
      </c>
    </row>
    <row r="310" spans="32:33">
      <c r="AF310">
        <v>49.749999998552084</v>
      </c>
      <c r="AG310">
        <v>4.798570638151356E-2</v>
      </c>
    </row>
    <row r="311" spans="32:33">
      <c r="AF311">
        <v>49.916666665213903</v>
      </c>
      <c r="AG311">
        <v>4.8055711002476388E-2</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sheetPr codeName="Plan2"/>
  <dimension ref="A1:AH302"/>
  <sheetViews>
    <sheetView topLeftCell="A244" zoomScale="85" zoomScaleNormal="85" workbookViewId="0">
      <selection activeCell="E287" sqref="E287"/>
    </sheetView>
  </sheetViews>
  <sheetFormatPr defaultRowHeight="12.75"/>
  <cols>
    <col min="1" max="1" width="3.5703125" customWidth="1"/>
    <col min="2" max="2" width="6" customWidth="1"/>
    <col min="3" max="3" width="20.7109375" customWidth="1"/>
    <col min="4" max="5" width="12.7109375" customWidth="1"/>
    <col min="6" max="6" width="12.7109375" style="1" customWidth="1"/>
    <col min="7" max="12" width="12.7109375" customWidth="1"/>
    <col min="13" max="13" width="16.5703125" customWidth="1"/>
    <col min="14" max="14" width="10.7109375" customWidth="1"/>
    <col min="26" max="26" width="12.7109375" customWidth="1"/>
  </cols>
  <sheetData>
    <row r="1" spans="1:34" ht="24" customHeight="1">
      <c r="A1" s="87"/>
      <c r="B1" s="87" t="s">
        <v>547</v>
      </c>
      <c r="C1" s="337" t="s">
        <v>22</v>
      </c>
      <c r="D1" s="337"/>
      <c r="E1" s="88"/>
      <c r="F1" s="927"/>
      <c r="G1" s="89"/>
      <c r="H1" s="88"/>
      <c r="I1" s="88"/>
      <c r="J1" s="88"/>
      <c r="K1" s="88"/>
      <c r="L1" s="414"/>
      <c r="M1" s="88"/>
      <c r="N1" s="88"/>
      <c r="O1" s="88"/>
      <c r="P1" s="88"/>
      <c r="Q1" s="88"/>
      <c r="R1" s="88"/>
      <c r="S1" s="88"/>
      <c r="T1" s="88"/>
      <c r="U1" s="88"/>
      <c r="V1" s="88"/>
      <c r="W1" s="88"/>
      <c r="X1" s="88"/>
      <c r="Y1" s="88"/>
      <c r="Z1" s="88"/>
      <c r="AA1" s="24"/>
      <c r="AB1" s="24"/>
      <c r="AC1" s="24"/>
      <c r="AD1" s="24"/>
      <c r="AE1" s="24"/>
      <c r="AF1" s="24"/>
      <c r="AG1" s="24"/>
      <c r="AH1" s="24"/>
    </row>
    <row r="2" spans="1:34" s="347" customFormat="1" ht="20.25" customHeight="1">
      <c r="A2" s="348"/>
      <c r="B2" s="537" t="s">
        <v>911</v>
      </c>
      <c r="C2" s="349"/>
      <c r="D2" s="349"/>
      <c r="E2" s="349"/>
      <c r="F2" s="349"/>
      <c r="G2" s="349"/>
      <c r="H2" s="349"/>
      <c r="I2" s="349"/>
      <c r="J2" s="349"/>
      <c r="K2" s="349"/>
      <c r="L2" s="349"/>
      <c r="M2" s="349"/>
      <c r="N2" s="349"/>
      <c r="O2" s="349"/>
      <c r="P2" s="349"/>
      <c r="Q2" s="349"/>
      <c r="R2" s="349"/>
      <c r="S2" s="349"/>
      <c r="T2" s="349"/>
      <c r="U2" s="349"/>
      <c r="V2" s="349"/>
      <c r="W2" s="349"/>
      <c r="X2" s="349"/>
      <c r="Y2" s="349"/>
      <c r="Z2" s="349"/>
      <c r="AA2" s="346"/>
      <c r="AB2" s="346"/>
      <c r="AC2" s="346"/>
      <c r="AD2" s="346"/>
      <c r="AE2" s="346"/>
      <c r="AF2" s="346"/>
      <c r="AG2" s="346"/>
      <c r="AH2" s="346"/>
    </row>
    <row r="3" spans="1:34" s="347" customFormat="1" ht="18" customHeight="1">
      <c r="A3" s="349"/>
      <c r="B3" s="355" t="s">
        <v>950</v>
      </c>
      <c r="C3" s="349"/>
      <c r="D3" s="349"/>
      <c r="E3" s="349"/>
      <c r="F3" s="349"/>
      <c r="G3" s="349"/>
      <c r="H3" s="349"/>
      <c r="I3" s="349"/>
      <c r="J3" s="349"/>
      <c r="K3" s="349"/>
      <c r="L3" s="349"/>
      <c r="M3" s="349"/>
      <c r="N3" s="349"/>
      <c r="O3" s="349"/>
      <c r="P3" s="349"/>
      <c r="Q3" s="349"/>
      <c r="R3" s="349"/>
      <c r="S3" s="349"/>
      <c r="T3" s="349"/>
      <c r="U3" s="349"/>
      <c r="V3" s="349"/>
      <c r="W3" s="349"/>
      <c r="X3" s="349"/>
      <c r="Y3" s="349"/>
      <c r="Z3" s="349"/>
      <c r="AA3" s="346"/>
      <c r="AB3" s="346"/>
      <c r="AC3" s="346"/>
      <c r="AD3" s="346"/>
      <c r="AE3" s="346"/>
      <c r="AF3" s="346"/>
      <c r="AG3" s="346"/>
      <c r="AH3" s="346"/>
    </row>
    <row r="4" spans="1:34" s="347" customFormat="1" ht="16.5" customHeight="1">
      <c r="A4" s="349"/>
      <c r="B4" s="689" t="s">
        <v>951</v>
      </c>
      <c r="C4" s="349"/>
      <c r="D4" s="349"/>
      <c r="E4" s="349"/>
      <c r="F4" s="349"/>
      <c r="G4" s="349"/>
      <c r="H4" s="349"/>
      <c r="I4" s="349"/>
      <c r="J4" s="349"/>
      <c r="K4" s="349"/>
      <c r="L4" s="349"/>
      <c r="M4" s="349"/>
      <c r="N4" s="349"/>
      <c r="O4" s="349"/>
      <c r="P4" s="349"/>
      <c r="Q4" s="349"/>
      <c r="R4" s="349"/>
      <c r="S4" s="349"/>
      <c r="T4" s="349"/>
      <c r="U4" s="349"/>
      <c r="V4" s="349"/>
      <c r="W4" s="349"/>
      <c r="X4" s="349"/>
      <c r="Y4" s="349"/>
      <c r="Z4" s="349"/>
      <c r="AA4" s="346"/>
      <c r="AB4" s="346"/>
      <c r="AC4" s="346"/>
      <c r="AD4" s="346"/>
      <c r="AE4" s="346"/>
      <c r="AF4" s="346"/>
      <c r="AG4" s="346"/>
      <c r="AH4" s="346"/>
    </row>
    <row r="5" spans="1:34" s="15" customFormat="1" ht="18.75" customHeight="1">
      <c r="A5" s="341"/>
      <c r="B5" s="342" t="s">
        <v>692</v>
      </c>
      <c r="C5" s="341"/>
      <c r="D5" s="341"/>
      <c r="E5" s="341"/>
      <c r="F5" s="339"/>
      <c r="G5" s="341"/>
      <c r="H5" s="341"/>
      <c r="I5" s="341"/>
      <c r="J5" s="341"/>
      <c r="K5" s="341"/>
      <c r="L5" s="341"/>
      <c r="M5" s="341"/>
      <c r="N5" s="341"/>
      <c r="O5" s="341"/>
      <c r="P5" s="341"/>
      <c r="Q5" s="341"/>
      <c r="R5" s="341"/>
      <c r="S5" s="339"/>
      <c r="T5" s="339"/>
      <c r="U5" s="339"/>
      <c r="V5" s="339"/>
      <c r="W5" s="339"/>
      <c r="X5" s="339"/>
      <c r="Y5" s="339"/>
      <c r="Z5" s="339"/>
      <c r="AA5" s="340"/>
      <c r="AB5" s="340"/>
      <c r="AC5" s="340"/>
      <c r="AD5" s="340"/>
      <c r="AE5" s="340"/>
      <c r="AF5" s="340"/>
      <c r="AG5" s="340"/>
      <c r="AH5" s="340"/>
    </row>
    <row r="6" spans="1:34" ht="15.95" customHeight="1">
      <c r="A6" s="350"/>
      <c r="B6" s="690" t="s">
        <v>954</v>
      </c>
      <c r="C6" s="350"/>
      <c r="D6" s="350"/>
      <c r="E6" s="350"/>
      <c r="F6" s="350"/>
      <c r="G6" s="350"/>
      <c r="H6" s="350"/>
      <c r="I6" s="690" t="s">
        <v>952</v>
      </c>
      <c r="J6" s="350"/>
      <c r="K6" s="350"/>
      <c r="L6" s="350"/>
      <c r="M6" s="690" t="s">
        <v>828</v>
      </c>
      <c r="N6" s="350"/>
      <c r="O6" s="350"/>
      <c r="P6" s="350"/>
      <c r="Q6" s="350"/>
      <c r="R6" s="350"/>
      <c r="S6" s="690" t="s">
        <v>830</v>
      </c>
      <c r="T6" s="16"/>
      <c r="U6" s="16"/>
      <c r="V6" s="16"/>
      <c r="W6" s="16"/>
      <c r="X6" s="16"/>
      <c r="Y6" s="16"/>
      <c r="Z6" s="17"/>
      <c r="AA6" s="24"/>
      <c r="AB6" s="24"/>
      <c r="AC6" s="24"/>
      <c r="AD6" s="24"/>
      <c r="AE6" s="24"/>
      <c r="AF6" s="24"/>
      <c r="AG6" s="24"/>
      <c r="AH6" s="24"/>
    </row>
    <row r="7" spans="1:34" ht="15.95" customHeight="1">
      <c r="A7" s="350"/>
      <c r="B7" s="353" t="s">
        <v>1114</v>
      </c>
      <c r="C7" s="353"/>
      <c r="D7" s="353"/>
      <c r="E7" s="353"/>
      <c r="F7" s="350"/>
      <c r="G7" s="350"/>
      <c r="H7" s="688" t="s">
        <v>1136</v>
      </c>
      <c r="I7" s="350"/>
      <c r="J7" s="350"/>
      <c r="K7" s="350"/>
      <c r="L7" s="350"/>
      <c r="M7" s="690" t="s">
        <v>829</v>
      </c>
      <c r="N7" s="350"/>
      <c r="O7" s="350"/>
      <c r="P7" s="350"/>
      <c r="Q7" s="350"/>
      <c r="R7" s="350"/>
      <c r="S7" s="17" t="s">
        <v>831</v>
      </c>
      <c r="T7" s="16"/>
      <c r="U7" s="16"/>
      <c r="V7" s="16"/>
      <c r="W7" s="16"/>
      <c r="X7" s="16"/>
      <c r="Y7" s="16"/>
      <c r="Z7" s="16"/>
      <c r="AA7" s="24"/>
      <c r="AB7" s="24"/>
      <c r="AC7" s="24"/>
      <c r="AD7" s="24"/>
      <c r="AE7" s="24"/>
      <c r="AF7" s="24"/>
      <c r="AG7" s="24"/>
      <c r="AH7" s="24"/>
    </row>
    <row r="8" spans="1:34" ht="15.95" customHeight="1">
      <c r="A8" s="350"/>
      <c r="B8" s="353" t="s">
        <v>23</v>
      </c>
      <c r="C8" s="350"/>
      <c r="D8" s="350"/>
      <c r="E8" s="350"/>
      <c r="F8" s="16"/>
      <c r="G8" s="350"/>
      <c r="H8" s="353" t="s">
        <v>366</v>
      </c>
      <c r="I8" s="350"/>
      <c r="J8" s="350"/>
      <c r="K8" s="350"/>
      <c r="L8" s="350"/>
      <c r="M8" s="350" t="s">
        <v>550</v>
      </c>
      <c r="N8" s="350"/>
      <c r="O8" s="350"/>
      <c r="P8" s="350"/>
      <c r="Q8" s="350"/>
      <c r="R8" s="350"/>
      <c r="S8" s="690" t="s">
        <v>551</v>
      </c>
      <c r="T8" s="16"/>
      <c r="U8" s="16"/>
      <c r="V8" s="16"/>
      <c r="W8" s="16"/>
      <c r="X8" s="16"/>
      <c r="Y8" s="16"/>
      <c r="Z8" s="16"/>
      <c r="AA8" s="24"/>
      <c r="AB8" s="24"/>
      <c r="AC8" s="24"/>
      <c r="AD8" s="24"/>
      <c r="AE8" s="24"/>
      <c r="AF8" s="24"/>
      <c r="AG8" s="24"/>
      <c r="AH8" s="24"/>
    </row>
    <row r="9" spans="1:34" ht="15.95" customHeight="1">
      <c r="A9" s="350"/>
      <c r="B9" s="688" t="s">
        <v>955</v>
      </c>
      <c r="C9" s="350"/>
      <c r="D9" s="350"/>
      <c r="E9" s="350"/>
      <c r="F9" s="16"/>
      <c r="G9" s="677"/>
      <c r="H9" s="353" t="s">
        <v>827</v>
      </c>
      <c r="I9" s="350"/>
      <c r="J9" s="350"/>
      <c r="K9" s="350"/>
      <c r="L9" s="350"/>
      <c r="M9" s="350" t="s">
        <v>24</v>
      </c>
      <c r="N9" s="350"/>
      <c r="O9" s="350"/>
      <c r="P9" s="350"/>
      <c r="Q9" s="350"/>
      <c r="R9" s="350"/>
      <c r="S9" s="690" t="s">
        <v>548</v>
      </c>
      <c r="T9" s="16"/>
      <c r="U9" s="16"/>
      <c r="V9" s="16"/>
      <c r="W9" s="16"/>
      <c r="X9" s="16"/>
      <c r="Y9" s="16"/>
      <c r="Z9" s="16"/>
      <c r="AA9" s="24"/>
      <c r="AB9" s="24"/>
      <c r="AC9" s="24"/>
      <c r="AD9" s="24"/>
      <c r="AE9" s="24"/>
      <c r="AF9" s="24"/>
      <c r="AG9" s="24"/>
      <c r="AH9" s="24"/>
    </row>
    <row r="10" spans="1:34" ht="15.95" customHeight="1">
      <c r="A10" s="350"/>
      <c r="B10" s="351" t="s">
        <v>124</v>
      </c>
      <c r="C10" s="350"/>
      <c r="D10" s="350"/>
      <c r="E10" s="350"/>
      <c r="F10" s="16"/>
      <c r="G10" s="350"/>
      <c r="H10" s="350"/>
      <c r="I10" s="350"/>
      <c r="J10" s="350"/>
      <c r="K10" s="350"/>
      <c r="L10" s="353"/>
      <c r="M10" s="353" t="s">
        <v>1115</v>
      </c>
      <c r="N10" s="353"/>
      <c r="O10" s="353"/>
      <c r="P10" s="353"/>
      <c r="Q10" s="353"/>
      <c r="R10" s="353"/>
      <c r="S10" s="690" t="s">
        <v>549</v>
      </c>
      <c r="T10" s="16"/>
      <c r="U10" s="16"/>
      <c r="V10" s="16"/>
      <c r="W10" s="16"/>
      <c r="X10" s="16"/>
      <c r="Y10" s="16"/>
      <c r="Z10" s="16"/>
      <c r="AA10" s="24"/>
      <c r="AB10" s="24"/>
      <c r="AC10" s="24"/>
      <c r="AD10" s="24"/>
      <c r="AE10" s="24"/>
      <c r="AF10" s="24"/>
      <c r="AG10" s="24"/>
      <c r="AH10" s="24"/>
    </row>
    <row r="11" spans="1:34" ht="15.95" customHeight="1">
      <c r="A11" s="350"/>
      <c r="B11" s="351" t="s">
        <v>129</v>
      </c>
      <c r="C11" s="350"/>
      <c r="D11" s="350"/>
      <c r="E11" s="350"/>
      <c r="F11" s="16"/>
      <c r="G11" s="350"/>
      <c r="H11" s="350"/>
      <c r="I11" s="350"/>
      <c r="J11" s="350"/>
      <c r="K11" s="350"/>
      <c r="L11" s="353"/>
      <c r="M11" s="688" t="s">
        <v>993</v>
      </c>
      <c r="N11" s="353"/>
      <c r="O11" s="353"/>
      <c r="P11" s="353"/>
      <c r="Q11" s="353"/>
      <c r="R11" s="353"/>
      <c r="S11" s="350" t="s">
        <v>992</v>
      </c>
      <c r="T11" s="350"/>
      <c r="U11" s="350"/>
      <c r="V11" s="350"/>
      <c r="W11" s="350"/>
      <c r="X11" s="350"/>
      <c r="Y11" s="350"/>
      <c r="Z11" s="350"/>
      <c r="AA11" s="24"/>
      <c r="AB11" s="24"/>
      <c r="AC11" s="24"/>
      <c r="AD11" s="24"/>
      <c r="AE11" s="24"/>
      <c r="AF11" s="24"/>
      <c r="AG11" s="24"/>
      <c r="AH11" s="24"/>
    </row>
    <row r="12" spans="1:34" ht="15.95" customHeight="1">
      <c r="A12" s="350"/>
      <c r="B12" s="351" t="s">
        <v>130</v>
      </c>
      <c r="C12" s="353"/>
      <c r="D12" s="353"/>
      <c r="E12" s="353"/>
      <c r="F12" s="677"/>
      <c r="G12" s="353"/>
      <c r="H12" s="353"/>
      <c r="I12" s="353"/>
      <c r="J12" s="353"/>
      <c r="K12" s="353"/>
      <c r="L12" s="350"/>
      <c r="M12" s="690" t="s">
        <v>1132</v>
      </c>
      <c r="N12" s="350"/>
      <c r="O12" s="350"/>
      <c r="P12" s="350" t="s">
        <v>1133</v>
      </c>
      <c r="Q12" s="350"/>
      <c r="R12" s="350"/>
      <c r="S12" s="350"/>
      <c r="T12" s="350"/>
      <c r="U12" s="350"/>
      <c r="V12" s="350"/>
      <c r="W12" s="350"/>
      <c r="X12" s="350"/>
      <c r="Y12" s="350"/>
      <c r="Z12" s="350"/>
      <c r="AA12" s="24"/>
      <c r="AB12" s="24"/>
      <c r="AC12" s="24"/>
      <c r="AD12" s="24"/>
      <c r="AE12" s="24"/>
      <c r="AF12" s="24"/>
      <c r="AG12" s="24"/>
      <c r="AH12" s="24"/>
    </row>
    <row r="13" spans="1:34" ht="15.95" customHeight="1">
      <c r="A13" s="350"/>
      <c r="B13" s="351" t="s">
        <v>131</v>
      </c>
      <c r="C13" s="353"/>
      <c r="D13" s="353"/>
      <c r="E13" s="353"/>
      <c r="F13" s="677"/>
      <c r="G13" s="353"/>
      <c r="H13" s="353"/>
      <c r="I13" s="353"/>
      <c r="J13" s="353"/>
      <c r="K13" s="353"/>
      <c r="L13" s="350"/>
      <c r="M13" s="690" t="s">
        <v>1134</v>
      </c>
      <c r="N13" s="350"/>
      <c r="O13" s="350"/>
      <c r="P13" s="350" t="s">
        <v>1135</v>
      </c>
      <c r="Q13" s="350"/>
      <c r="R13" s="350"/>
      <c r="S13" s="350"/>
      <c r="T13" s="350"/>
      <c r="U13" s="350"/>
      <c r="V13" s="350"/>
      <c r="W13" s="350"/>
      <c r="X13" s="350"/>
      <c r="Y13" s="350"/>
      <c r="Z13" s="350"/>
      <c r="AA13" s="24"/>
      <c r="AB13" s="24"/>
      <c r="AC13" s="24"/>
      <c r="AD13" s="24"/>
      <c r="AE13" s="24"/>
      <c r="AF13" s="24"/>
      <c r="AG13" s="24"/>
      <c r="AH13" s="24"/>
    </row>
    <row r="14" spans="1:34" ht="17.25" customHeight="1">
      <c r="A14" s="350"/>
      <c r="B14" s="352" t="s">
        <v>132</v>
      </c>
      <c r="C14" s="353"/>
      <c r="D14" s="353"/>
      <c r="E14" s="353"/>
      <c r="F14" s="677"/>
      <c r="G14" s="353"/>
      <c r="H14" s="353"/>
      <c r="I14" s="353"/>
      <c r="J14" s="353"/>
      <c r="K14" s="353"/>
      <c r="L14" s="350"/>
      <c r="M14" s="350"/>
      <c r="N14" s="350"/>
      <c r="O14" s="350"/>
      <c r="P14" s="350"/>
      <c r="Q14" s="350"/>
      <c r="R14" s="350"/>
      <c r="S14" s="350"/>
      <c r="T14" s="350"/>
      <c r="U14" s="350"/>
      <c r="V14" s="350"/>
      <c r="W14" s="350"/>
      <c r="X14" s="350"/>
      <c r="Y14" s="350"/>
      <c r="Z14" s="350"/>
      <c r="AA14" s="24"/>
      <c r="AB14" s="24"/>
      <c r="AC14" s="24"/>
      <c r="AD14" s="24"/>
      <c r="AE14" s="24"/>
      <c r="AF14" s="24"/>
      <c r="AG14" s="24"/>
      <c r="AH14" s="24"/>
    </row>
    <row r="15" spans="1:34" ht="15.95" customHeight="1">
      <c r="A15" s="350"/>
      <c r="B15" s="353" t="s">
        <v>133</v>
      </c>
      <c r="C15" s="353"/>
      <c r="D15" s="353"/>
      <c r="E15" s="353"/>
      <c r="F15" s="677"/>
      <c r="G15" s="353"/>
      <c r="H15" s="353"/>
      <c r="I15" s="353"/>
      <c r="J15" s="353"/>
      <c r="K15" s="353"/>
      <c r="L15" s="353"/>
      <c r="M15" s="688" t="s">
        <v>832</v>
      </c>
      <c r="N15" s="353"/>
      <c r="O15" s="353"/>
      <c r="P15" s="350"/>
      <c r="Q15" s="350"/>
      <c r="R15" s="350"/>
      <c r="S15" s="350"/>
      <c r="T15" s="350"/>
      <c r="U15" s="350"/>
      <c r="V15" s="350"/>
      <c r="W15" s="350"/>
      <c r="X15" s="350"/>
      <c r="Y15" s="350"/>
      <c r="Z15" s="350"/>
      <c r="AA15" s="24"/>
      <c r="AB15" s="24"/>
      <c r="AC15" s="24"/>
      <c r="AD15" s="24"/>
      <c r="AE15" s="24"/>
      <c r="AF15" s="24"/>
      <c r="AG15" s="24"/>
      <c r="AH15" s="24"/>
    </row>
    <row r="16" spans="1:34" ht="15.95" customHeight="1">
      <c r="A16" s="350"/>
      <c r="B16" s="688" t="s">
        <v>956</v>
      </c>
      <c r="C16" s="353"/>
      <c r="D16" s="353"/>
      <c r="E16" s="353"/>
      <c r="F16" s="677"/>
      <c r="G16" s="353"/>
      <c r="H16" s="688"/>
      <c r="I16" s="353"/>
      <c r="J16" s="353"/>
      <c r="K16" s="353"/>
      <c r="L16" s="353"/>
      <c r="M16" s="350" t="s">
        <v>581</v>
      </c>
      <c r="N16" s="350" t="s">
        <v>584</v>
      </c>
      <c r="O16" s="353"/>
      <c r="P16" s="350"/>
      <c r="Q16" s="350"/>
      <c r="R16" s="350"/>
      <c r="S16" s="350"/>
      <c r="T16" s="350"/>
      <c r="U16" s="350"/>
      <c r="V16" s="350"/>
      <c r="W16" s="350"/>
      <c r="X16" s="350"/>
      <c r="Y16" s="350"/>
      <c r="Z16" s="350"/>
      <c r="AA16" s="24"/>
      <c r="AB16" s="24"/>
      <c r="AC16" s="24"/>
      <c r="AD16" s="24"/>
      <c r="AE16" s="24"/>
      <c r="AF16" s="24"/>
      <c r="AG16" s="24"/>
      <c r="AH16" s="24"/>
    </row>
    <row r="17" spans="1:34" ht="17.25" customHeight="1">
      <c r="A17" s="350"/>
      <c r="B17" s="688" t="s">
        <v>957</v>
      </c>
      <c r="C17" s="353"/>
      <c r="D17" s="353"/>
      <c r="E17" s="353"/>
      <c r="F17" s="677"/>
      <c r="G17" s="353"/>
      <c r="H17" s="353"/>
      <c r="I17" s="937"/>
      <c r="J17" s="937" t="s">
        <v>953</v>
      </c>
      <c r="K17" s="353"/>
      <c r="L17" s="353"/>
      <c r="M17" s="350" t="s">
        <v>582</v>
      </c>
      <c r="N17" s="350" t="s">
        <v>585</v>
      </c>
      <c r="O17" s="353"/>
      <c r="P17" s="422" t="s">
        <v>693</v>
      </c>
      <c r="Q17" s="350"/>
      <c r="R17" s="350"/>
      <c r="S17" s="350"/>
      <c r="T17" s="350"/>
      <c r="U17" s="350"/>
      <c r="V17" s="937"/>
      <c r="W17" s="937"/>
      <c r="X17" s="350"/>
      <c r="Y17" s="350"/>
      <c r="Z17" s="350"/>
      <c r="AA17" s="24"/>
      <c r="AB17" s="24"/>
      <c r="AC17" s="24"/>
      <c r="AD17" s="24"/>
      <c r="AE17" s="24"/>
      <c r="AF17" s="24"/>
      <c r="AG17" s="24"/>
      <c r="AH17" s="24"/>
    </row>
    <row r="18" spans="1:34" ht="19.149999999999999" customHeight="1">
      <c r="A18" s="16"/>
      <c r="B18" s="353"/>
      <c r="C18" s="353"/>
      <c r="D18" s="353"/>
      <c r="E18" s="353"/>
      <c r="F18" s="677"/>
      <c r="G18" s="353"/>
      <c r="H18" s="353"/>
      <c r="I18" s="677"/>
      <c r="J18" s="677"/>
      <c r="K18" s="353"/>
      <c r="L18" s="353"/>
      <c r="M18" s="1310" t="s">
        <v>583</v>
      </c>
      <c r="N18" s="1310" t="s">
        <v>586</v>
      </c>
      <c r="O18" s="1311"/>
      <c r="P18" s="350"/>
      <c r="Q18" s="350"/>
      <c r="R18" s="350"/>
      <c r="S18" s="350"/>
      <c r="T18" s="350"/>
      <c r="U18" s="350"/>
      <c r="V18" s="350"/>
      <c r="W18" s="350"/>
      <c r="X18" s="350"/>
      <c r="Y18" s="350"/>
      <c r="Z18" s="350"/>
      <c r="AA18" s="24"/>
      <c r="AB18" s="24"/>
      <c r="AC18" s="24"/>
      <c r="AD18" s="24"/>
      <c r="AE18" s="24"/>
      <c r="AF18" s="24"/>
      <c r="AG18" s="24"/>
      <c r="AH18" s="24"/>
    </row>
    <row r="19" spans="1:34">
      <c r="A19" s="90"/>
      <c r="B19" s="90"/>
      <c r="C19" s="1302" t="s">
        <v>1116</v>
      </c>
      <c r="D19" s="1303" t="s">
        <v>25</v>
      </c>
      <c r="E19" s="91"/>
      <c r="F19" s="91"/>
      <c r="G19" s="91"/>
      <c r="H19" s="1304"/>
      <c r="I19" s="91"/>
      <c r="J19" s="91"/>
      <c r="K19" s="91" t="s">
        <v>135</v>
      </c>
      <c r="L19" s="91" t="s">
        <v>26</v>
      </c>
      <c r="M19" s="1305"/>
      <c r="N19" s="1305" t="s">
        <v>634</v>
      </c>
      <c r="O19" s="1305"/>
      <c r="P19" s="1306"/>
      <c r="Q19" s="958"/>
      <c r="R19" s="338"/>
      <c r="S19" s="220"/>
      <c r="T19" s="220"/>
      <c r="U19" s="220"/>
      <c r="V19" s="220"/>
      <c r="W19" s="220"/>
      <c r="X19" s="220"/>
      <c r="Y19" s="220"/>
      <c r="Z19" s="220"/>
      <c r="AA19" s="24"/>
      <c r="AB19" s="24"/>
      <c r="AC19" s="24"/>
      <c r="AD19" s="24"/>
      <c r="AE19" s="24"/>
      <c r="AF19" s="24"/>
      <c r="AG19" s="24"/>
      <c r="AH19" s="24"/>
    </row>
    <row r="20" spans="1:34" ht="15.75">
      <c r="A20" s="343"/>
      <c r="B20" s="1307"/>
      <c r="C20" s="1307"/>
      <c r="D20" s="20" t="s">
        <v>27</v>
      </c>
      <c r="E20" s="20" t="s">
        <v>136</v>
      </c>
      <c r="F20" s="20" t="s">
        <v>137</v>
      </c>
      <c r="G20" s="20" t="s">
        <v>138</v>
      </c>
      <c r="H20" s="20" t="s">
        <v>139</v>
      </c>
      <c r="I20" s="20" t="s">
        <v>140</v>
      </c>
      <c r="J20" s="20" t="s">
        <v>141</v>
      </c>
      <c r="K20" s="20" t="s">
        <v>142</v>
      </c>
      <c r="L20" s="20" t="s">
        <v>28</v>
      </c>
      <c r="M20" s="1308" t="s">
        <v>552</v>
      </c>
      <c r="N20" s="1309" t="s">
        <v>143</v>
      </c>
      <c r="O20" s="1309"/>
      <c r="P20" s="92"/>
      <c r="Q20" s="958"/>
      <c r="R20" s="220"/>
      <c r="S20" s="220"/>
      <c r="T20" s="220"/>
      <c r="U20" s="220"/>
      <c r="V20" s="220"/>
      <c r="W20" s="220"/>
      <c r="X20" s="220"/>
      <c r="Y20" s="220"/>
      <c r="Z20" s="220"/>
      <c r="AA20" s="24"/>
      <c r="AB20" s="24"/>
      <c r="AC20" s="24"/>
      <c r="AD20" s="24"/>
      <c r="AE20" s="24"/>
      <c r="AF20" s="24"/>
      <c r="AG20" s="24"/>
      <c r="AH20" s="24"/>
    </row>
    <row r="21" spans="1:34" ht="15" customHeight="1">
      <c r="A21" s="958"/>
      <c r="B21" s="958"/>
      <c r="C21" s="97" t="s">
        <v>29</v>
      </c>
      <c r="D21" s="95"/>
      <c r="E21" s="95"/>
      <c r="F21" s="96"/>
      <c r="G21" s="95"/>
      <c r="H21" s="95"/>
      <c r="I21" s="95"/>
      <c r="J21" s="95"/>
      <c r="K21" s="95"/>
      <c r="L21" s="95"/>
      <c r="M21" s="95"/>
      <c r="N21" s="95"/>
      <c r="O21" s="95"/>
      <c r="P21" s="7"/>
      <c r="Q21" s="958"/>
      <c r="R21" s="220"/>
      <c r="S21" s="220"/>
      <c r="T21" s="220"/>
      <c r="U21" s="220"/>
      <c r="V21" s="220"/>
      <c r="W21" s="220"/>
      <c r="X21" s="220"/>
      <c r="Y21" s="220"/>
      <c r="Z21" s="220"/>
      <c r="AA21" s="24"/>
      <c r="AB21" s="24"/>
      <c r="AC21" s="24"/>
      <c r="AD21" s="24"/>
      <c r="AE21" s="24"/>
      <c r="AF21" s="24"/>
      <c r="AG21" s="24"/>
      <c r="AH21" s="24"/>
    </row>
    <row r="22" spans="1:34" ht="12.95" customHeight="1">
      <c r="A22" s="958"/>
      <c r="B22" s="958">
        <v>1</v>
      </c>
      <c r="C22" s="976" t="s">
        <v>127</v>
      </c>
      <c r="D22" s="977">
        <v>-1</v>
      </c>
      <c r="E22" s="977">
        <v>4.7569999999999997</v>
      </c>
      <c r="F22" s="977"/>
      <c r="G22" s="977"/>
      <c r="H22" s="977"/>
      <c r="I22" s="977"/>
      <c r="J22" s="977"/>
      <c r="K22" s="977">
        <v>25</v>
      </c>
      <c r="L22" s="978">
        <v>0</v>
      </c>
      <c r="M22" s="979" t="s">
        <v>146</v>
      </c>
      <c r="N22" s="980">
        <v>60.052</v>
      </c>
      <c r="O22" s="981"/>
      <c r="P22" s="982"/>
      <c r="Q22" s="958"/>
      <c r="R22" s="220"/>
      <c r="S22" s="220"/>
      <c r="T22" s="220"/>
      <c r="U22" s="220"/>
      <c r="V22" s="220"/>
      <c r="W22" s="220"/>
      <c r="X22" s="220"/>
      <c r="Y22" s="220"/>
      <c r="Z22" s="220"/>
      <c r="AA22" s="24"/>
      <c r="AB22" s="24"/>
      <c r="AC22" s="24"/>
      <c r="AD22" s="24"/>
      <c r="AE22" s="24"/>
      <c r="AF22" s="24"/>
      <c r="AG22" s="24"/>
      <c r="AH22" s="24"/>
    </row>
    <row r="23" spans="1:34" ht="12.95" customHeight="1">
      <c r="A23" s="958"/>
      <c r="B23" s="958">
        <v>2</v>
      </c>
      <c r="C23" s="961" t="s">
        <v>128</v>
      </c>
      <c r="D23" s="977">
        <v>0</v>
      </c>
      <c r="E23" s="964">
        <v>9.2439999999999998</v>
      </c>
      <c r="F23" s="964"/>
      <c r="G23" s="964"/>
      <c r="H23" s="977"/>
      <c r="I23" s="977"/>
      <c r="J23" s="977"/>
      <c r="K23" s="977">
        <v>25</v>
      </c>
      <c r="L23" s="978">
        <v>0</v>
      </c>
      <c r="M23" s="979" t="s">
        <v>343</v>
      </c>
      <c r="N23" s="980">
        <v>17.026</v>
      </c>
      <c r="O23" s="981"/>
      <c r="P23" s="982"/>
      <c r="Q23" s="958"/>
      <c r="R23" s="220"/>
      <c r="S23" s="220"/>
      <c r="T23" s="220"/>
      <c r="U23" s="220"/>
      <c r="V23" s="220"/>
      <c r="W23" s="220"/>
      <c r="X23" s="220"/>
      <c r="Y23" s="220"/>
      <c r="Z23" s="220"/>
      <c r="AA23" s="24"/>
      <c r="AB23" s="24"/>
      <c r="AC23" s="24"/>
      <c r="AD23" s="24"/>
      <c r="AE23" s="24"/>
      <c r="AF23" s="24"/>
      <c r="AG23" s="24"/>
      <c r="AH23" s="24"/>
    </row>
    <row r="24" spans="1:34" ht="12.95" customHeight="1">
      <c r="A24" s="958"/>
      <c r="B24" s="958">
        <v>3</v>
      </c>
      <c r="C24" s="961" t="s">
        <v>159</v>
      </c>
      <c r="D24" s="962">
        <v>-2</v>
      </c>
      <c r="E24" s="964">
        <v>6.3520000000000003</v>
      </c>
      <c r="F24" s="964">
        <v>10.329000000000001</v>
      </c>
      <c r="G24" s="964"/>
      <c r="H24" s="962"/>
      <c r="I24" s="962"/>
      <c r="J24" s="962"/>
      <c r="K24" s="962">
        <v>25</v>
      </c>
      <c r="L24" s="958">
        <v>0</v>
      </c>
      <c r="M24" s="983" t="s">
        <v>328</v>
      </c>
      <c r="N24" s="966"/>
      <c r="O24" s="981"/>
      <c r="P24" s="982"/>
      <c r="Q24" s="958"/>
      <c r="R24" s="220"/>
      <c r="S24" s="220"/>
      <c r="T24" s="220"/>
      <c r="U24" s="220"/>
      <c r="V24" s="220"/>
      <c r="W24" s="220"/>
      <c r="X24" s="220"/>
      <c r="Y24" s="220"/>
      <c r="Z24" s="220"/>
      <c r="AA24" s="24"/>
      <c r="AB24" s="24"/>
      <c r="AC24" s="24"/>
      <c r="AD24" s="24"/>
      <c r="AE24" s="24"/>
      <c r="AF24" s="24"/>
      <c r="AG24" s="24"/>
      <c r="AH24" s="24"/>
    </row>
    <row r="25" spans="1:34" ht="12.95" customHeight="1">
      <c r="A25" s="958"/>
      <c r="B25" s="958">
        <v>4</v>
      </c>
      <c r="C25" s="961" t="s">
        <v>134</v>
      </c>
      <c r="D25" s="977">
        <v>-3</v>
      </c>
      <c r="E25" s="964">
        <v>3.1280000000000001</v>
      </c>
      <c r="F25" s="964">
        <v>4.7610000000000001</v>
      </c>
      <c r="G25" s="964">
        <v>6.3959999999999999</v>
      </c>
      <c r="H25" s="977"/>
      <c r="I25" s="977"/>
      <c r="J25" s="977"/>
      <c r="K25" s="977">
        <v>25</v>
      </c>
      <c r="L25" s="978">
        <v>0</v>
      </c>
      <c r="M25" s="984" t="s">
        <v>352</v>
      </c>
      <c r="N25" s="985">
        <v>192.02699999999999</v>
      </c>
      <c r="O25" s="981"/>
      <c r="P25" s="982"/>
      <c r="Q25" s="958"/>
      <c r="R25" s="220"/>
      <c r="S25" s="220"/>
      <c r="T25" s="220"/>
      <c r="U25" s="220"/>
      <c r="V25" s="220"/>
      <c r="W25" s="220"/>
      <c r="X25" s="220"/>
      <c r="Y25" s="220"/>
      <c r="Z25" s="220"/>
      <c r="AA25" s="24"/>
      <c r="AB25" s="24"/>
      <c r="AC25" s="24"/>
      <c r="AD25" s="24"/>
      <c r="AE25" s="24"/>
      <c r="AF25" s="24"/>
      <c r="AG25" s="24"/>
      <c r="AH25" s="24"/>
    </row>
    <row r="26" spans="1:34" ht="12.95" customHeight="1">
      <c r="A26" s="958"/>
      <c r="B26" s="958">
        <v>5</v>
      </c>
      <c r="C26" s="961" t="s">
        <v>330</v>
      </c>
      <c r="D26" s="977">
        <v>-4</v>
      </c>
      <c r="E26" s="1118">
        <v>-0.21</v>
      </c>
      <c r="F26" s="1118">
        <v>1.5</v>
      </c>
      <c r="G26" s="1119">
        <v>2.21</v>
      </c>
      <c r="H26" s="970">
        <v>3.11</v>
      </c>
      <c r="I26" s="1120">
        <v>6.75</v>
      </c>
      <c r="J26" s="1120">
        <v>11.03</v>
      </c>
      <c r="K26" s="1120">
        <v>25</v>
      </c>
      <c r="L26" s="949">
        <v>0</v>
      </c>
      <c r="M26" s="979" t="s">
        <v>144</v>
      </c>
      <c r="N26" s="980">
        <v>292.08999999999997</v>
      </c>
      <c r="O26" s="981"/>
      <c r="P26" s="982"/>
      <c r="Q26" s="958"/>
      <c r="R26" s="220"/>
      <c r="S26" s="220"/>
      <c r="T26" s="220"/>
      <c r="U26" s="220"/>
      <c r="V26" s="220"/>
      <c r="W26" s="220"/>
      <c r="X26" s="220"/>
      <c r="Y26" s="220"/>
      <c r="Z26" s="220"/>
      <c r="AA26" s="24"/>
      <c r="AB26" s="24"/>
      <c r="AC26" s="24"/>
      <c r="AD26" s="24"/>
      <c r="AE26" s="24"/>
      <c r="AF26" s="24"/>
      <c r="AG26" s="24"/>
      <c r="AH26" s="24"/>
    </row>
    <row r="27" spans="1:34" ht="12.95" customHeight="1">
      <c r="A27" s="958"/>
      <c r="B27" s="958">
        <v>6</v>
      </c>
      <c r="C27" s="976" t="s">
        <v>326</v>
      </c>
      <c r="D27" s="977">
        <v>-1</v>
      </c>
      <c r="E27" s="969">
        <v>-7</v>
      </c>
      <c r="F27" s="970"/>
      <c r="G27" s="970"/>
      <c r="H27" s="970"/>
      <c r="I27" s="970"/>
      <c r="J27" s="970"/>
      <c r="K27" s="971">
        <v>25</v>
      </c>
      <c r="L27" s="968">
        <v>0</v>
      </c>
      <c r="M27" s="986" t="s">
        <v>326</v>
      </c>
      <c r="N27" s="980"/>
      <c r="O27" s="981"/>
      <c r="P27" s="982"/>
      <c r="Q27" s="958"/>
      <c r="R27" s="220"/>
      <c r="S27" s="220"/>
      <c r="T27" s="220"/>
      <c r="U27" s="220"/>
      <c r="V27" s="220"/>
      <c r="W27" s="220"/>
      <c r="X27" s="220"/>
      <c r="Y27" s="220"/>
      <c r="Z27" s="220"/>
      <c r="AA27" s="24"/>
      <c r="AB27" s="24"/>
      <c r="AC27" s="24"/>
      <c r="AD27" s="24"/>
      <c r="AE27" s="24"/>
      <c r="AF27" s="24"/>
      <c r="AG27" s="24"/>
      <c r="AH27" s="24"/>
    </row>
    <row r="28" spans="1:34" ht="12.95" customHeight="1">
      <c r="A28" s="958"/>
      <c r="B28" s="958">
        <v>7</v>
      </c>
      <c r="C28" s="961" t="s">
        <v>626</v>
      </c>
      <c r="D28" s="962">
        <v>-1</v>
      </c>
      <c r="E28" s="963">
        <v>15.744999999999999</v>
      </c>
      <c r="F28" s="964"/>
      <c r="G28" s="964"/>
      <c r="H28" s="962"/>
      <c r="I28" s="962"/>
      <c r="J28" s="962"/>
      <c r="K28" s="962">
        <v>25</v>
      </c>
      <c r="L28" s="958">
        <v>0</v>
      </c>
      <c r="M28" s="983" t="s">
        <v>553</v>
      </c>
      <c r="N28" s="966"/>
      <c r="O28" s="987"/>
      <c r="P28" s="982"/>
      <c r="Q28" s="958"/>
      <c r="R28" s="220"/>
      <c r="S28" s="220"/>
      <c r="T28" s="220"/>
      <c r="U28" s="220"/>
      <c r="V28" s="220"/>
      <c r="W28" s="220"/>
      <c r="X28" s="220"/>
      <c r="Y28" s="220"/>
      <c r="Z28" s="220"/>
      <c r="AA28" s="24"/>
      <c r="AB28" s="24"/>
      <c r="AC28" s="24"/>
      <c r="AD28" s="24"/>
      <c r="AE28" s="24"/>
      <c r="AF28" s="24"/>
      <c r="AG28" s="24"/>
      <c r="AH28" s="24"/>
    </row>
    <row r="29" spans="1:34" ht="12.95" customHeight="1">
      <c r="A29" s="958"/>
      <c r="B29" s="958">
        <v>8</v>
      </c>
      <c r="C29" s="961" t="s">
        <v>125</v>
      </c>
      <c r="D29" s="977">
        <v>-3</v>
      </c>
      <c r="E29" s="964">
        <v>2.1480000000000001</v>
      </c>
      <c r="F29" s="964">
        <v>7.1989999999999998</v>
      </c>
      <c r="G29" s="964">
        <v>12.35</v>
      </c>
      <c r="H29" s="977"/>
      <c r="I29" s="977"/>
      <c r="J29" s="977"/>
      <c r="K29" s="977">
        <v>25</v>
      </c>
      <c r="L29" s="978">
        <v>0</v>
      </c>
      <c r="M29" s="979" t="s">
        <v>145</v>
      </c>
      <c r="N29" s="980">
        <v>97.975999999999999</v>
      </c>
      <c r="O29" s="987"/>
      <c r="P29" s="982"/>
      <c r="Q29" s="958"/>
      <c r="R29" s="220"/>
      <c r="S29" s="220"/>
      <c r="T29" s="220"/>
      <c r="U29" s="220"/>
      <c r="V29" s="220"/>
      <c r="W29" s="220"/>
      <c r="X29" s="220"/>
      <c r="Y29" s="220"/>
      <c r="Z29" s="220"/>
      <c r="AA29" s="24"/>
      <c r="AB29" s="24"/>
      <c r="AC29" s="24"/>
      <c r="AD29" s="24"/>
      <c r="AE29" s="24"/>
      <c r="AF29" s="24"/>
      <c r="AG29" s="24"/>
      <c r="AH29" s="24"/>
    </row>
    <row r="30" spans="1:34" ht="12.95" customHeight="1">
      <c r="A30" s="958"/>
      <c r="B30" s="958">
        <v>9</v>
      </c>
      <c r="C30" s="988"/>
      <c r="D30" s="958">
        <v>0</v>
      </c>
      <c r="E30" s="958">
        <v>0</v>
      </c>
      <c r="F30" s="958"/>
      <c r="G30" s="958"/>
      <c r="H30" s="960"/>
      <c r="I30" s="958"/>
      <c r="J30" s="958"/>
      <c r="K30" s="958"/>
      <c r="L30" s="958"/>
      <c r="M30" s="975"/>
      <c r="N30" s="989"/>
      <c r="O30" s="990"/>
      <c r="P30" s="982"/>
      <c r="Q30" s="958"/>
      <c r="R30" s="220"/>
      <c r="S30" s="220"/>
      <c r="T30" s="220"/>
      <c r="U30" s="220"/>
      <c r="V30" s="220"/>
      <c r="W30" s="220"/>
      <c r="X30" s="220"/>
      <c r="Y30" s="220"/>
      <c r="Z30" s="220"/>
    </row>
    <row r="31" spans="1:34" ht="12.95" customHeight="1">
      <c r="A31" s="958"/>
      <c r="B31" s="958">
        <v>10</v>
      </c>
      <c r="C31" s="988"/>
      <c r="D31" s="958">
        <v>0</v>
      </c>
      <c r="E31" s="958">
        <v>0</v>
      </c>
      <c r="F31" s="958"/>
      <c r="G31" s="958"/>
      <c r="H31" s="960"/>
      <c r="I31" s="958"/>
      <c r="J31" s="958"/>
      <c r="K31" s="958"/>
      <c r="L31" s="958"/>
      <c r="M31" s="975"/>
      <c r="N31" s="989"/>
      <c r="O31" s="990"/>
      <c r="P31" s="982"/>
      <c r="Q31" s="958"/>
      <c r="R31" s="220"/>
      <c r="S31" s="220"/>
      <c r="T31" s="220"/>
      <c r="U31" s="220"/>
      <c r="V31" s="220"/>
      <c r="W31" s="220"/>
      <c r="X31" s="220"/>
      <c r="Y31" s="220"/>
      <c r="Z31" s="220"/>
    </row>
    <row r="32" spans="1:34">
      <c r="A32" s="2"/>
      <c r="B32" s="958">
        <v>11</v>
      </c>
      <c r="C32" s="938" t="s">
        <v>30</v>
      </c>
      <c r="D32" s="938"/>
      <c r="E32" s="938" t="s">
        <v>31</v>
      </c>
      <c r="F32" s="939"/>
      <c r="G32" s="939"/>
      <c r="H32" s="939"/>
      <c r="I32" s="939"/>
      <c r="J32" s="939"/>
      <c r="K32" s="938" t="s">
        <v>32</v>
      </c>
      <c r="L32" s="938"/>
      <c r="M32" s="939"/>
      <c r="N32" s="940"/>
      <c r="O32" s="96"/>
      <c r="P32" s="7"/>
      <c r="Q32" s="958"/>
      <c r="R32" s="220"/>
      <c r="S32" s="220"/>
      <c r="T32" s="220"/>
      <c r="U32" s="220"/>
      <c r="V32" s="220"/>
      <c r="W32" s="220"/>
      <c r="X32" s="220"/>
      <c r="Y32" s="220"/>
      <c r="Z32" s="220"/>
    </row>
    <row r="33" spans="1:34">
      <c r="A33" s="957"/>
      <c r="B33" s="958">
        <v>12</v>
      </c>
      <c r="C33" s="959" t="s">
        <v>378</v>
      </c>
      <c r="D33" s="958">
        <v>0</v>
      </c>
      <c r="E33" s="958">
        <v>0.63</v>
      </c>
      <c r="F33" s="960"/>
      <c r="G33" s="961"/>
      <c r="H33" s="962"/>
      <c r="I33" s="963"/>
      <c r="J33" s="964"/>
      <c r="K33" s="964">
        <v>25</v>
      </c>
      <c r="L33" s="962">
        <v>0</v>
      </c>
      <c r="M33" s="965" t="s">
        <v>377</v>
      </c>
      <c r="N33" s="966">
        <v>59.067</v>
      </c>
      <c r="O33" s="967"/>
      <c r="P33" s="958"/>
      <c r="Q33" s="958"/>
      <c r="R33" s="220"/>
      <c r="S33" s="220"/>
      <c r="T33" s="220"/>
      <c r="U33" s="220"/>
      <c r="V33" s="220"/>
      <c r="W33" s="220"/>
      <c r="X33" s="220"/>
      <c r="Y33" s="220"/>
      <c r="Z33" s="220"/>
      <c r="AA33" s="24"/>
      <c r="AB33" s="24"/>
      <c r="AC33" s="24"/>
      <c r="AD33" s="24"/>
      <c r="AE33" s="24"/>
      <c r="AF33" s="24"/>
      <c r="AG33" s="24"/>
      <c r="AH33" s="24"/>
    </row>
    <row r="34" spans="1:34">
      <c r="A34" s="957"/>
      <c r="B34" s="958">
        <v>13</v>
      </c>
      <c r="C34" s="959" t="s">
        <v>127</v>
      </c>
      <c r="D34" s="958">
        <v>-1</v>
      </c>
      <c r="E34" s="958">
        <v>4.7569999999999997</v>
      </c>
      <c r="F34" s="960"/>
      <c r="G34" s="961"/>
      <c r="H34" s="962"/>
      <c r="I34" s="963"/>
      <c r="J34" s="964"/>
      <c r="K34" s="964">
        <v>25</v>
      </c>
      <c r="L34" s="962">
        <v>0</v>
      </c>
      <c r="M34" s="965" t="s">
        <v>146</v>
      </c>
      <c r="N34" s="966">
        <v>60.052</v>
      </c>
      <c r="O34" s="967"/>
      <c r="P34" s="958"/>
      <c r="Q34" s="958"/>
      <c r="R34" s="94"/>
      <c r="S34" s="94"/>
      <c r="T34" s="94"/>
      <c r="U34" s="94"/>
      <c r="V34" s="94"/>
      <c r="W34" s="94"/>
      <c r="X34" s="94"/>
      <c r="Y34" s="94"/>
      <c r="Z34" s="94"/>
      <c r="AA34" s="24"/>
      <c r="AB34" s="24"/>
      <c r="AC34" s="24"/>
      <c r="AD34" s="24"/>
      <c r="AE34" s="24"/>
      <c r="AF34" s="24"/>
      <c r="AG34" s="24"/>
      <c r="AH34" s="24"/>
    </row>
    <row r="35" spans="1:34">
      <c r="A35" s="957"/>
      <c r="B35" s="958">
        <v>14</v>
      </c>
      <c r="C35" s="959" t="s">
        <v>408</v>
      </c>
      <c r="D35" s="958">
        <v>-1</v>
      </c>
      <c r="E35" s="958">
        <v>3.58</v>
      </c>
      <c r="F35" s="960"/>
      <c r="G35" s="961"/>
      <c r="H35" s="962"/>
      <c r="I35" s="963"/>
      <c r="J35" s="964"/>
      <c r="K35" s="964">
        <v>18</v>
      </c>
      <c r="L35" s="962">
        <v>0</v>
      </c>
      <c r="M35" s="965" t="s">
        <v>407</v>
      </c>
      <c r="N35" s="966">
        <v>102.089</v>
      </c>
      <c r="O35" s="967"/>
      <c r="P35" s="958"/>
      <c r="Q35" s="958"/>
      <c r="R35" s="94"/>
      <c r="S35" s="94"/>
      <c r="T35" s="94"/>
      <c r="U35" s="94"/>
      <c r="V35" s="94"/>
      <c r="W35" s="94"/>
      <c r="X35" s="94"/>
      <c r="Y35" s="94"/>
      <c r="Z35" s="94"/>
      <c r="AA35" s="24"/>
      <c r="AB35" s="24"/>
      <c r="AC35" s="24"/>
      <c r="AD35" s="24"/>
      <c r="AE35" s="24"/>
      <c r="AF35" s="24"/>
      <c r="AG35" s="24"/>
      <c r="AH35" s="24"/>
    </row>
    <row r="36" spans="1:34">
      <c r="A36" s="957"/>
      <c r="B36" s="958">
        <v>15</v>
      </c>
      <c r="C36" s="959" t="s">
        <v>385</v>
      </c>
      <c r="D36" s="958">
        <v>-1</v>
      </c>
      <c r="E36" s="958">
        <v>4.25</v>
      </c>
      <c r="F36" s="960"/>
      <c r="G36" s="961"/>
      <c r="H36" s="962"/>
      <c r="I36" s="963"/>
      <c r="J36" s="964"/>
      <c r="K36" s="964">
        <v>25</v>
      </c>
      <c r="L36" s="962">
        <v>0</v>
      </c>
      <c r="M36" s="965" t="s">
        <v>384</v>
      </c>
      <c r="N36" s="966">
        <v>72.063000000000002</v>
      </c>
      <c r="O36" s="967"/>
      <c r="P36" s="958"/>
      <c r="Q36" s="958"/>
      <c r="R36" s="94"/>
      <c r="S36" s="94"/>
      <c r="T36" s="94"/>
      <c r="U36" s="94"/>
      <c r="V36" s="94"/>
      <c r="W36" s="94"/>
      <c r="X36" s="94"/>
      <c r="Y36" s="94"/>
      <c r="Z36" s="94"/>
      <c r="AA36" s="24"/>
      <c r="AB36" s="24"/>
      <c r="AC36" s="24"/>
      <c r="AD36" s="24"/>
      <c r="AE36" s="24"/>
      <c r="AF36" s="24"/>
      <c r="AG36" s="24"/>
      <c r="AH36" s="24"/>
    </row>
    <row r="37" spans="1:34">
      <c r="A37" s="957"/>
      <c r="B37" s="958">
        <v>16</v>
      </c>
      <c r="C37" s="959" t="s">
        <v>47</v>
      </c>
      <c r="D37" s="958">
        <v>-2</v>
      </c>
      <c r="E37" s="958">
        <v>4.43</v>
      </c>
      <c r="F37" s="960">
        <v>5.41</v>
      </c>
      <c r="G37" s="961"/>
      <c r="H37" s="962"/>
      <c r="I37" s="963"/>
      <c r="J37" s="964"/>
      <c r="K37" s="964">
        <v>25</v>
      </c>
      <c r="L37" s="962">
        <v>0</v>
      </c>
      <c r="M37" s="965" t="s">
        <v>46</v>
      </c>
      <c r="N37" s="966">
        <v>146.143</v>
      </c>
      <c r="O37" s="967"/>
      <c r="P37" s="958"/>
      <c r="Q37" s="958"/>
      <c r="R37" s="94"/>
      <c r="S37" s="94"/>
      <c r="T37" s="94"/>
      <c r="U37" s="94"/>
      <c r="V37" s="94"/>
      <c r="W37" s="94"/>
      <c r="X37" s="94"/>
      <c r="Y37" s="94"/>
      <c r="Z37" s="94"/>
      <c r="AA37" s="24"/>
      <c r="AB37" s="24"/>
      <c r="AC37" s="24"/>
      <c r="AD37" s="24"/>
      <c r="AE37" s="24"/>
      <c r="AF37" s="24"/>
      <c r="AG37" s="24"/>
      <c r="AH37" s="24"/>
    </row>
    <row r="38" spans="1:34">
      <c r="A38" s="957"/>
      <c r="B38" s="958">
        <v>17</v>
      </c>
      <c r="C38" s="959" t="s">
        <v>147</v>
      </c>
      <c r="D38" s="958">
        <v>-1</v>
      </c>
      <c r="E38" s="958">
        <v>2.3479999999999999</v>
      </c>
      <c r="F38" s="960">
        <v>9.8670000000000009</v>
      </c>
      <c r="G38" s="961"/>
      <c r="H38" s="962"/>
      <c r="I38" s="963"/>
      <c r="J38" s="964"/>
      <c r="K38" s="964">
        <v>25</v>
      </c>
      <c r="L38" s="962">
        <v>0</v>
      </c>
      <c r="M38" s="965" t="s">
        <v>148</v>
      </c>
      <c r="N38" s="966">
        <v>89.093999999999994</v>
      </c>
      <c r="O38" s="967"/>
      <c r="P38" s="958"/>
      <c r="Q38" s="958"/>
      <c r="R38" s="94"/>
      <c r="S38" s="94"/>
      <c r="T38" s="94"/>
      <c r="U38" s="94"/>
      <c r="V38" s="94"/>
      <c r="W38" s="94"/>
      <c r="X38" s="94"/>
      <c r="Y38" s="94"/>
      <c r="Z38" s="94"/>
      <c r="AA38" s="24"/>
      <c r="AB38" s="24"/>
      <c r="AC38" s="24"/>
      <c r="AD38" s="24"/>
      <c r="AE38" s="24"/>
      <c r="AF38" s="24"/>
      <c r="AG38" s="24"/>
      <c r="AH38" s="24"/>
    </row>
    <row r="39" spans="1:34">
      <c r="A39" s="957"/>
      <c r="B39" s="958">
        <v>18</v>
      </c>
      <c r="C39" s="959" t="s">
        <v>554</v>
      </c>
      <c r="D39" s="958">
        <v>0</v>
      </c>
      <c r="E39" s="958">
        <v>4.5999999999999996</v>
      </c>
      <c r="F39" s="960"/>
      <c r="G39" s="961"/>
      <c r="H39" s="962"/>
      <c r="I39" s="963"/>
      <c r="J39" s="964"/>
      <c r="K39" s="964">
        <v>25</v>
      </c>
      <c r="L39" s="962">
        <v>0</v>
      </c>
      <c r="M39" s="965" t="s">
        <v>555</v>
      </c>
      <c r="N39" s="966">
        <v>93.13</v>
      </c>
      <c r="O39" s="967"/>
      <c r="P39" s="958"/>
      <c r="Q39" s="958"/>
      <c r="R39" s="94"/>
      <c r="S39" s="94"/>
      <c r="T39" s="94"/>
      <c r="U39" s="94"/>
      <c r="V39" s="94"/>
      <c r="W39" s="94"/>
      <c r="X39" s="94"/>
      <c r="Y39" s="94"/>
      <c r="Z39" s="94"/>
      <c r="AA39" s="24"/>
      <c r="AB39" s="24"/>
      <c r="AC39" s="24"/>
      <c r="AD39" s="24"/>
      <c r="AE39" s="24"/>
      <c r="AF39" s="24"/>
      <c r="AG39" s="24"/>
      <c r="AH39" s="24"/>
    </row>
    <row r="40" spans="1:34">
      <c r="A40" s="957"/>
      <c r="B40" s="958">
        <v>19</v>
      </c>
      <c r="C40" s="959" t="s">
        <v>79</v>
      </c>
      <c r="D40" s="958">
        <v>-1</v>
      </c>
      <c r="E40" s="958">
        <v>2.1080000000000001</v>
      </c>
      <c r="F40" s="960">
        <v>4.9459999999999997</v>
      </c>
      <c r="G40" s="961"/>
      <c r="H40" s="962"/>
      <c r="I40" s="963"/>
      <c r="J40" s="964"/>
      <c r="K40" s="964">
        <v>25</v>
      </c>
      <c r="L40" s="962">
        <v>0</v>
      </c>
      <c r="M40" s="965" t="s">
        <v>78</v>
      </c>
      <c r="N40" s="966">
        <v>137.13800000000001</v>
      </c>
      <c r="O40" s="967"/>
      <c r="P40" s="958"/>
      <c r="Q40" s="958"/>
      <c r="R40" s="94"/>
      <c r="S40" s="94"/>
      <c r="T40" s="94"/>
      <c r="U40" s="94"/>
      <c r="V40" s="94"/>
      <c r="W40" s="94"/>
      <c r="X40" s="94"/>
      <c r="Y40" s="94"/>
      <c r="Z40" s="94"/>
      <c r="AA40" s="24"/>
      <c r="AB40" s="24"/>
      <c r="AC40" s="24"/>
      <c r="AD40" s="24"/>
      <c r="AE40" s="24"/>
      <c r="AF40" s="24"/>
      <c r="AG40" s="24"/>
      <c r="AH40" s="24"/>
    </row>
    <row r="41" spans="1:34">
      <c r="A41" s="957"/>
      <c r="B41" s="958">
        <v>20</v>
      </c>
      <c r="C41" s="959" t="s">
        <v>80</v>
      </c>
      <c r="D41" s="958">
        <v>-1</v>
      </c>
      <c r="E41" s="958">
        <v>2.5009999999999999</v>
      </c>
      <c r="F41" s="960">
        <v>4.8739999999999997</v>
      </c>
      <c r="G41" s="961"/>
      <c r="H41" s="962"/>
      <c r="I41" s="963"/>
      <c r="J41" s="964"/>
      <c r="K41" s="964">
        <v>25</v>
      </c>
      <c r="L41" s="962">
        <v>0</v>
      </c>
      <c r="M41" s="965" t="s">
        <v>78</v>
      </c>
      <c r="N41" s="966">
        <v>137.13800000000001</v>
      </c>
      <c r="O41" s="967"/>
      <c r="P41" s="958"/>
      <c r="Q41" s="958"/>
      <c r="R41" s="94"/>
      <c r="S41" s="94"/>
      <c r="T41" s="94"/>
      <c r="U41" s="94"/>
      <c r="V41" s="94"/>
      <c r="W41" s="94"/>
      <c r="X41" s="94"/>
      <c r="Y41" s="94"/>
      <c r="Z41" s="94"/>
      <c r="AA41" s="24"/>
      <c r="AB41" s="24"/>
      <c r="AC41" s="24"/>
      <c r="AD41" s="24"/>
      <c r="AE41" s="24"/>
      <c r="AF41" s="24"/>
      <c r="AG41" s="24"/>
      <c r="AH41" s="24"/>
    </row>
    <row r="42" spans="1:34">
      <c r="A42" s="957"/>
      <c r="B42" s="958">
        <v>21</v>
      </c>
      <c r="C42" s="959" t="s">
        <v>426</v>
      </c>
      <c r="D42" s="958">
        <v>-1</v>
      </c>
      <c r="E42" s="958">
        <v>2.29</v>
      </c>
      <c r="F42" s="960">
        <v>9.83</v>
      </c>
      <c r="G42" s="961"/>
      <c r="H42" s="962"/>
      <c r="I42" s="963"/>
      <c r="J42" s="964"/>
      <c r="K42" s="964">
        <v>25</v>
      </c>
      <c r="L42" s="962">
        <v>0</v>
      </c>
      <c r="M42" s="965" t="s">
        <v>425</v>
      </c>
      <c r="N42" s="966"/>
      <c r="O42" s="967"/>
      <c r="P42" s="958"/>
      <c r="Q42" s="958"/>
      <c r="R42" s="94"/>
      <c r="S42" s="94"/>
      <c r="T42" s="94"/>
      <c r="U42" s="94"/>
      <c r="V42" s="94"/>
      <c r="W42" s="94"/>
      <c r="X42" s="94"/>
      <c r="Y42" s="94"/>
      <c r="Z42" s="94"/>
      <c r="AA42" s="24"/>
      <c r="AB42" s="24"/>
      <c r="AC42" s="24"/>
      <c r="AD42" s="24"/>
      <c r="AE42" s="24"/>
      <c r="AF42" s="24"/>
      <c r="AG42" s="24"/>
      <c r="AH42" s="24"/>
    </row>
    <row r="43" spans="1:34">
      <c r="A43" s="957"/>
      <c r="B43" s="958">
        <v>22</v>
      </c>
      <c r="C43" s="959" t="s">
        <v>54</v>
      </c>
      <c r="D43" s="958">
        <v>-1</v>
      </c>
      <c r="E43" s="958">
        <v>4.3730000000000002</v>
      </c>
      <c r="F43" s="960">
        <v>10.804</v>
      </c>
      <c r="G43" s="961"/>
      <c r="H43" s="962"/>
      <c r="I43" s="963"/>
      <c r="J43" s="964"/>
      <c r="K43" s="964">
        <v>25</v>
      </c>
      <c r="L43" s="962">
        <v>0</v>
      </c>
      <c r="M43" s="965" t="s">
        <v>53</v>
      </c>
      <c r="N43" s="966"/>
      <c r="O43" s="967"/>
      <c r="P43" s="958"/>
      <c r="Q43" s="958"/>
      <c r="R43" s="94"/>
      <c r="S43" s="94"/>
      <c r="T43" s="94"/>
      <c r="U43" s="94"/>
      <c r="V43" s="94"/>
      <c r="W43" s="94"/>
      <c r="X43" s="94"/>
      <c r="Y43" s="94"/>
      <c r="Z43" s="94"/>
      <c r="AA43" s="24"/>
      <c r="AB43" s="24"/>
      <c r="AC43" s="24"/>
      <c r="AD43" s="24"/>
      <c r="AE43" s="24"/>
      <c r="AF43" s="24"/>
      <c r="AG43" s="24"/>
      <c r="AH43" s="24"/>
    </row>
    <row r="44" spans="1:34">
      <c r="A44" s="957"/>
      <c r="B44" s="958">
        <v>23</v>
      </c>
      <c r="C44" s="959" t="s">
        <v>453</v>
      </c>
      <c r="D44" s="958">
        <v>-1</v>
      </c>
      <c r="E44" s="958">
        <v>4.2699999999999996</v>
      </c>
      <c r="F44" s="960">
        <v>10.766</v>
      </c>
      <c r="G44" s="961"/>
      <c r="H44" s="962"/>
      <c r="I44" s="963"/>
      <c r="J44" s="964"/>
      <c r="K44" s="964">
        <v>25</v>
      </c>
      <c r="L44" s="962">
        <v>0</v>
      </c>
      <c r="M44" s="965" t="s">
        <v>452</v>
      </c>
      <c r="N44" s="966"/>
      <c r="O44" s="967"/>
      <c r="P44" s="958"/>
      <c r="Q44" s="958"/>
      <c r="R44" s="94"/>
      <c r="S44" s="94"/>
      <c r="T44" s="94"/>
      <c r="U44" s="94"/>
      <c r="V44" s="94"/>
      <c r="W44" s="94"/>
      <c r="X44" s="94"/>
      <c r="Y44" s="94"/>
      <c r="Z44" s="94"/>
      <c r="AA44" s="24"/>
      <c r="AB44" s="24"/>
      <c r="AC44" s="24"/>
      <c r="AD44" s="24"/>
      <c r="AE44" s="24"/>
      <c r="AF44" s="24"/>
      <c r="AG44" s="24"/>
      <c r="AH44" s="24"/>
    </row>
    <row r="45" spans="1:34">
      <c r="A45" s="957"/>
      <c r="B45" s="958">
        <v>24</v>
      </c>
      <c r="C45" s="959" t="s">
        <v>149</v>
      </c>
      <c r="D45" s="958">
        <v>-1</v>
      </c>
      <c r="E45" s="958">
        <v>4.78</v>
      </c>
      <c r="F45" s="960">
        <v>9.9700000000000006</v>
      </c>
      <c r="G45" s="961"/>
      <c r="H45" s="962"/>
      <c r="I45" s="963"/>
      <c r="J45" s="964"/>
      <c r="K45" s="964">
        <v>20</v>
      </c>
      <c r="L45" s="962">
        <v>0</v>
      </c>
      <c r="M45" s="965" t="s">
        <v>150</v>
      </c>
      <c r="N45" s="966"/>
      <c r="O45" s="967"/>
      <c r="P45" s="958"/>
      <c r="Q45" s="958"/>
      <c r="R45" s="94"/>
      <c r="S45" s="94"/>
      <c r="T45" s="94"/>
      <c r="U45" s="94"/>
      <c r="V45" s="94"/>
      <c r="W45" s="94"/>
      <c r="X45" s="94"/>
      <c r="Y45" s="94"/>
      <c r="Z45" s="94"/>
      <c r="AA45" s="24"/>
      <c r="AB45" s="24"/>
      <c r="AC45" s="24"/>
      <c r="AD45" s="24"/>
      <c r="AE45" s="24"/>
      <c r="AF45" s="24"/>
      <c r="AG45" s="24"/>
      <c r="AH45" s="24"/>
    </row>
    <row r="46" spans="1:34">
      <c r="A46" s="957"/>
      <c r="B46" s="958">
        <v>25</v>
      </c>
      <c r="C46" s="959" t="s">
        <v>151</v>
      </c>
      <c r="D46" s="958">
        <v>-1</v>
      </c>
      <c r="E46" s="958">
        <v>3.55</v>
      </c>
      <c r="F46" s="960">
        <v>10.24</v>
      </c>
      <c r="G46" s="961"/>
      <c r="H46" s="962"/>
      <c r="I46" s="963"/>
      <c r="J46" s="964"/>
      <c r="K46" s="964">
        <v>25</v>
      </c>
      <c r="L46" s="962">
        <v>0</v>
      </c>
      <c r="M46" s="965" t="s">
        <v>393</v>
      </c>
      <c r="N46" s="966"/>
      <c r="O46" s="967"/>
      <c r="P46" s="958"/>
      <c r="Q46" s="958"/>
      <c r="R46" s="94"/>
      <c r="S46" s="94"/>
      <c r="T46" s="94"/>
      <c r="U46" s="94"/>
      <c r="V46" s="94"/>
      <c r="W46" s="94"/>
      <c r="X46" s="94"/>
      <c r="Y46" s="94"/>
      <c r="Z46" s="94"/>
      <c r="AA46" s="24"/>
      <c r="AB46" s="24"/>
      <c r="AC46" s="24"/>
      <c r="AD46" s="24"/>
      <c r="AE46" s="24"/>
      <c r="AF46" s="24"/>
      <c r="AG46" s="24"/>
      <c r="AH46" s="24"/>
    </row>
    <row r="47" spans="1:34">
      <c r="A47" s="957"/>
      <c r="B47" s="958">
        <v>26</v>
      </c>
      <c r="C47" s="959" t="s">
        <v>128</v>
      </c>
      <c r="D47" s="958">
        <v>0</v>
      </c>
      <c r="E47" s="958">
        <v>9.2439999999999998</v>
      </c>
      <c r="F47" s="960"/>
      <c r="G47" s="961"/>
      <c r="H47" s="962"/>
      <c r="I47" s="963"/>
      <c r="J47" s="964"/>
      <c r="K47" s="964">
        <v>25</v>
      </c>
      <c r="L47" s="962">
        <v>0</v>
      </c>
      <c r="M47" s="965" t="s">
        <v>343</v>
      </c>
      <c r="N47" s="966">
        <v>17.026</v>
      </c>
      <c r="O47" s="967"/>
      <c r="P47" s="958"/>
      <c r="Q47" s="958"/>
      <c r="R47" s="94"/>
      <c r="S47" s="94"/>
      <c r="T47" s="94"/>
      <c r="U47" s="94"/>
      <c r="V47" s="94"/>
      <c r="W47" s="94"/>
      <c r="X47" s="94"/>
      <c r="Y47" s="94"/>
      <c r="Z47" s="94"/>
      <c r="AA47" s="24"/>
      <c r="AB47" s="24"/>
      <c r="AC47" s="24"/>
      <c r="AD47" s="24"/>
      <c r="AE47" s="24"/>
      <c r="AF47" s="24"/>
      <c r="AG47" s="24"/>
      <c r="AH47" s="24"/>
    </row>
    <row r="48" spans="1:34">
      <c r="A48" s="957"/>
      <c r="B48" s="958">
        <v>27</v>
      </c>
      <c r="C48" s="959" t="s">
        <v>364</v>
      </c>
      <c r="D48" s="958">
        <v>0</v>
      </c>
      <c r="E48" s="958">
        <v>4.63</v>
      </c>
      <c r="F48" s="960"/>
      <c r="G48" s="961"/>
      <c r="H48" s="962"/>
      <c r="I48" s="963"/>
      <c r="J48" s="964"/>
      <c r="K48" s="964">
        <v>25</v>
      </c>
      <c r="L48" s="962">
        <v>0</v>
      </c>
      <c r="M48" s="965" t="s">
        <v>37</v>
      </c>
      <c r="N48" s="966"/>
      <c r="O48" s="967"/>
      <c r="P48" s="958"/>
      <c r="Q48" s="958"/>
      <c r="R48" s="94"/>
      <c r="S48" s="94"/>
      <c r="T48" s="94"/>
      <c r="U48" s="94"/>
      <c r="V48" s="94"/>
      <c r="W48" s="94"/>
      <c r="X48" s="94"/>
      <c r="Y48" s="94"/>
      <c r="Z48" s="94"/>
      <c r="AA48" s="24"/>
      <c r="AB48" s="24"/>
      <c r="AC48" s="24"/>
      <c r="AD48" s="24"/>
      <c r="AE48" s="24"/>
      <c r="AF48" s="24"/>
      <c r="AG48" s="24"/>
      <c r="AH48" s="24"/>
    </row>
    <row r="49" spans="1:34">
      <c r="A49" s="957"/>
      <c r="B49" s="958">
        <v>28</v>
      </c>
      <c r="C49" s="959" t="s">
        <v>152</v>
      </c>
      <c r="D49" s="958">
        <v>-1</v>
      </c>
      <c r="E49" s="958">
        <v>1.823</v>
      </c>
      <c r="F49" s="960">
        <v>8.9909999999999997</v>
      </c>
      <c r="G49" s="961">
        <v>12.48</v>
      </c>
      <c r="H49" s="962"/>
      <c r="I49" s="963"/>
      <c r="J49" s="964"/>
      <c r="K49" s="964">
        <v>25</v>
      </c>
      <c r="L49" s="962">
        <v>0</v>
      </c>
      <c r="M49" s="965" t="s">
        <v>57</v>
      </c>
      <c r="N49" s="966"/>
      <c r="O49" s="967"/>
      <c r="P49" s="958"/>
      <c r="Q49" s="958"/>
      <c r="R49" s="94"/>
      <c r="S49" s="94"/>
      <c r="T49" s="94"/>
      <c r="U49" s="94"/>
      <c r="V49" s="94"/>
      <c r="W49" s="94"/>
      <c r="X49" s="94"/>
      <c r="Y49" s="94"/>
      <c r="Z49" s="94"/>
      <c r="AA49" s="24"/>
      <c r="AB49" s="24"/>
      <c r="AC49" s="24"/>
      <c r="AD49" s="24"/>
      <c r="AE49" s="24"/>
      <c r="AF49" s="24"/>
      <c r="AG49" s="24"/>
      <c r="AH49" s="24"/>
    </row>
    <row r="50" spans="1:34">
      <c r="A50" s="957"/>
      <c r="B50" s="958">
        <v>29</v>
      </c>
      <c r="C50" s="959" t="s">
        <v>153</v>
      </c>
      <c r="D50" s="958">
        <v>-3</v>
      </c>
      <c r="E50" s="958">
        <v>2.2400000000000002</v>
      </c>
      <c r="F50" s="960">
        <v>6.96</v>
      </c>
      <c r="G50" s="961">
        <v>11.5</v>
      </c>
      <c r="H50" s="962"/>
      <c r="I50" s="963"/>
      <c r="J50" s="964"/>
      <c r="K50" s="964">
        <v>25</v>
      </c>
      <c r="L50" s="962">
        <v>0</v>
      </c>
      <c r="M50" s="965" t="s">
        <v>350</v>
      </c>
      <c r="N50" s="966"/>
      <c r="O50" s="967"/>
      <c r="P50" s="958"/>
      <c r="Q50" s="958"/>
      <c r="R50" s="94"/>
      <c r="S50" s="94"/>
      <c r="T50" s="94"/>
      <c r="U50" s="94"/>
      <c r="V50" s="94"/>
      <c r="W50" s="94"/>
      <c r="X50" s="94"/>
      <c r="Y50" s="94"/>
      <c r="Z50" s="94"/>
      <c r="AA50" s="24"/>
      <c r="AB50" s="24"/>
      <c r="AC50" s="24"/>
      <c r="AD50" s="24"/>
      <c r="AE50" s="24"/>
      <c r="AF50" s="24"/>
      <c r="AG50" s="24"/>
      <c r="AH50" s="24"/>
    </row>
    <row r="51" spans="1:34">
      <c r="A51" s="957"/>
      <c r="B51" s="958">
        <v>30</v>
      </c>
      <c r="C51" s="959" t="s">
        <v>154</v>
      </c>
      <c r="D51" s="958">
        <v>-1</v>
      </c>
      <c r="E51" s="958">
        <v>9.2200000000000006</v>
      </c>
      <c r="F51" s="960"/>
      <c r="G51" s="961"/>
      <c r="H51" s="962"/>
      <c r="I51" s="963"/>
      <c r="J51" s="964"/>
      <c r="K51" s="964"/>
      <c r="L51" s="962">
        <v>0</v>
      </c>
      <c r="M51" s="965" t="s">
        <v>351</v>
      </c>
      <c r="N51" s="966"/>
      <c r="O51" s="967"/>
      <c r="P51" s="958"/>
      <c r="Q51" s="958"/>
      <c r="R51" s="94"/>
      <c r="S51" s="94"/>
      <c r="T51" s="94"/>
      <c r="U51" s="94"/>
      <c r="V51" s="94"/>
      <c r="W51" s="94"/>
      <c r="X51" s="94"/>
      <c r="Y51" s="94"/>
      <c r="Z51" s="94"/>
      <c r="AA51" s="24"/>
      <c r="AB51" s="24"/>
      <c r="AC51" s="24"/>
      <c r="AD51" s="24"/>
      <c r="AE51" s="24"/>
      <c r="AF51" s="24"/>
      <c r="AG51" s="24"/>
      <c r="AH51" s="24"/>
    </row>
    <row r="52" spans="1:34">
      <c r="A52" s="957"/>
      <c r="B52" s="958">
        <v>31</v>
      </c>
      <c r="C52" s="959" t="s">
        <v>42</v>
      </c>
      <c r="D52" s="958">
        <v>-2</v>
      </c>
      <c r="E52" s="958">
        <v>4.0999999999999996</v>
      </c>
      <c r="F52" s="960">
        <v>11.79</v>
      </c>
      <c r="G52" s="961"/>
      <c r="H52" s="962"/>
      <c r="I52" s="963"/>
      <c r="J52" s="964"/>
      <c r="K52" s="964">
        <v>24</v>
      </c>
      <c r="L52" s="962">
        <v>0</v>
      </c>
      <c r="M52" s="965" t="s">
        <v>41</v>
      </c>
      <c r="N52" s="966"/>
      <c r="O52" s="967"/>
      <c r="P52" s="958"/>
      <c r="Q52" s="958"/>
      <c r="R52" s="94"/>
      <c r="S52" s="94"/>
      <c r="T52" s="94"/>
      <c r="U52" s="94"/>
      <c r="V52" s="94"/>
      <c r="W52" s="94"/>
      <c r="X52" s="94"/>
      <c r="Y52" s="94"/>
      <c r="Z52" s="94"/>
      <c r="AA52" s="24"/>
      <c r="AB52" s="24"/>
      <c r="AC52" s="24"/>
      <c r="AD52" s="24"/>
      <c r="AE52" s="24"/>
      <c r="AF52" s="24"/>
      <c r="AG52" s="24"/>
      <c r="AH52" s="24"/>
    </row>
    <row r="53" spans="1:34">
      <c r="A53" s="957"/>
      <c r="B53" s="958">
        <v>32</v>
      </c>
      <c r="C53" s="959" t="s">
        <v>155</v>
      </c>
      <c r="D53" s="958">
        <v>-1</v>
      </c>
      <c r="E53" s="958">
        <v>2.14</v>
      </c>
      <c r="F53" s="960">
        <v>8.93</v>
      </c>
      <c r="G53" s="961"/>
      <c r="H53" s="962"/>
      <c r="I53" s="963"/>
      <c r="J53" s="964"/>
      <c r="K53" s="964">
        <v>25</v>
      </c>
      <c r="L53" s="949">
        <v>0</v>
      </c>
      <c r="M53" s="965" t="s">
        <v>418</v>
      </c>
      <c r="N53" s="966"/>
      <c r="O53" s="967"/>
      <c r="P53" s="958"/>
      <c r="Q53" s="958"/>
      <c r="R53" s="94"/>
      <c r="S53" s="94"/>
      <c r="T53" s="94"/>
      <c r="U53" s="94"/>
      <c r="V53" s="94"/>
      <c r="W53" s="94"/>
      <c r="X53" s="94"/>
      <c r="Y53" s="94"/>
      <c r="Z53" s="94"/>
      <c r="AA53" s="24"/>
      <c r="AB53" s="24"/>
      <c r="AC53" s="24"/>
      <c r="AD53" s="24"/>
      <c r="AE53" s="24"/>
      <c r="AF53" s="24"/>
      <c r="AG53" s="24"/>
      <c r="AH53" s="24"/>
    </row>
    <row r="54" spans="1:34">
      <c r="A54" s="957"/>
      <c r="B54" s="958">
        <v>33</v>
      </c>
      <c r="C54" s="959" t="s">
        <v>415</v>
      </c>
      <c r="D54" s="958">
        <v>-2</v>
      </c>
      <c r="E54" s="958">
        <v>1.99</v>
      </c>
      <c r="F54" s="960">
        <v>3.9</v>
      </c>
      <c r="G54" s="961">
        <v>10.002000000000001</v>
      </c>
      <c r="H54" s="962"/>
      <c r="I54" s="963"/>
      <c r="J54" s="964"/>
      <c r="K54" s="964">
        <v>25</v>
      </c>
      <c r="L54" s="962">
        <v>0</v>
      </c>
      <c r="M54" s="965" t="s">
        <v>414</v>
      </c>
      <c r="N54" s="966"/>
      <c r="O54" s="967"/>
      <c r="P54" s="958"/>
      <c r="Q54" s="958"/>
      <c r="R54" s="94"/>
      <c r="S54" s="94"/>
      <c r="T54" s="94"/>
      <c r="U54" s="94"/>
      <c r="V54" s="94"/>
      <c r="W54" s="94"/>
      <c r="X54" s="94"/>
      <c r="Y54" s="94"/>
      <c r="Z54" s="94"/>
      <c r="AA54" s="24"/>
      <c r="AB54" s="24"/>
      <c r="AC54" s="24"/>
      <c r="AD54" s="24"/>
      <c r="AE54" s="24"/>
      <c r="AF54" s="24"/>
      <c r="AG54" s="24"/>
      <c r="AH54" s="24"/>
    </row>
    <row r="55" spans="1:34">
      <c r="A55" s="957"/>
      <c r="B55" s="958">
        <v>34</v>
      </c>
      <c r="C55" s="959" t="s">
        <v>156</v>
      </c>
      <c r="D55" s="958">
        <v>0</v>
      </c>
      <c r="E55" s="958">
        <v>7.43</v>
      </c>
      <c r="F55" s="960"/>
      <c r="G55" s="961"/>
      <c r="H55" s="962"/>
      <c r="I55" s="963"/>
      <c r="J55" s="964"/>
      <c r="K55" s="964">
        <v>25</v>
      </c>
      <c r="L55" s="962">
        <v>0</v>
      </c>
      <c r="M55" s="965" t="s">
        <v>117</v>
      </c>
      <c r="N55" s="966">
        <v>184.19</v>
      </c>
      <c r="O55" s="967"/>
      <c r="P55" s="958"/>
      <c r="Q55" s="958"/>
      <c r="R55" s="94"/>
      <c r="S55" s="94"/>
      <c r="T55" s="94"/>
      <c r="U55" s="94"/>
      <c r="V55" s="94"/>
      <c r="W55" s="94"/>
      <c r="X55" s="94"/>
      <c r="Y55" s="94"/>
      <c r="Z55" s="94"/>
      <c r="AA55" s="24"/>
      <c r="AB55" s="24"/>
      <c r="AC55" s="24"/>
      <c r="AD55" s="24"/>
      <c r="AE55" s="24"/>
      <c r="AF55" s="24"/>
      <c r="AG55" s="24"/>
      <c r="AH55" s="24"/>
    </row>
    <row r="56" spans="1:34">
      <c r="A56" s="957"/>
      <c r="B56" s="958">
        <v>35</v>
      </c>
      <c r="C56" s="959" t="s">
        <v>400</v>
      </c>
      <c r="D56" s="958">
        <v>-1</v>
      </c>
      <c r="E56" s="958">
        <v>4.01</v>
      </c>
      <c r="F56" s="960"/>
      <c r="G56" s="961"/>
      <c r="H56" s="962"/>
      <c r="I56" s="963"/>
      <c r="J56" s="964"/>
      <c r="K56" s="964">
        <v>25</v>
      </c>
      <c r="L56" s="962">
        <v>0</v>
      </c>
      <c r="M56" s="965" t="s">
        <v>399</v>
      </c>
      <c r="N56" s="966">
        <v>128.09</v>
      </c>
      <c r="O56" s="967"/>
      <c r="P56" s="958"/>
      <c r="Q56" s="958"/>
      <c r="R56" s="94"/>
      <c r="S56" s="94"/>
      <c r="T56" s="94"/>
      <c r="U56" s="94"/>
      <c r="V56" s="94"/>
      <c r="W56" s="94"/>
      <c r="X56" s="94"/>
      <c r="Y56" s="94"/>
      <c r="Z56" s="94"/>
      <c r="AA56" s="24"/>
      <c r="AB56" s="24"/>
      <c r="AC56" s="24"/>
      <c r="AD56" s="24"/>
      <c r="AE56" s="24"/>
      <c r="AF56" s="24"/>
      <c r="AG56" s="24"/>
      <c r="AH56" s="24"/>
    </row>
    <row r="57" spans="1:34">
      <c r="A57" s="957"/>
      <c r="B57" s="958">
        <v>36</v>
      </c>
      <c r="C57" s="959" t="s">
        <v>36</v>
      </c>
      <c r="D57" s="958">
        <v>-1</v>
      </c>
      <c r="E57" s="958">
        <v>0.7</v>
      </c>
      <c r="F57" s="960"/>
      <c r="G57" s="961"/>
      <c r="H57" s="962"/>
      <c r="I57" s="963"/>
      <c r="J57" s="964"/>
      <c r="K57" s="964">
        <v>25</v>
      </c>
      <c r="L57" s="962">
        <v>0</v>
      </c>
      <c r="M57" s="965" t="s">
        <v>35</v>
      </c>
      <c r="N57" s="966"/>
      <c r="O57" s="967"/>
      <c r="P57" s="958"/>
      <c r="Q57" s="958"/>
      <c r="R57" s="94"/>
      <c r="S57" s="94"/>
      <c r="T57" s="94"/>
      <c r="U57" s="94"/>
      <c r="V57" s="94"/>
      <c r="W57" s="94"/>
      <c r="X57" s="94"/>
      <c r="Y57" s="94"/>
      <c r="Z57" s="94"/>
      <c r="AA57" s="24"/>
      <c r="AB57" s="24"/>
      <c r="AC57" s="24"/>
      <c r="AD57" s="24"/>
      <c r="AE57" s="24"/>
      <c r="AF57" s="24"/>
      <c r="AG57" s="24"/>
      <c r="AH57" s="24"/>
    </row>
    <row r="58" spans="1:34">
      <c r="A58" s="957"/>
      <c r="B58" s="958">
        <v>37</v>
      </c>
      <c r="C58" s="959" t="s">
        <v>74</v>
      </c>
      <c r="D58" s="958">
        <v>-1</v>
      </c>
      <c r="E58" s="958">
        <v>4.1900000000000004</v>
      </c>
      <c r="F58" s="960"/>
      <c r="G58" s="961"/>
      <c r="H58" s="962"/>
      <c r="I58" s="963"/>
      <c r="J58" s="964"/>
      <c r="K58" s="964">
        <v>25</v>
      </c>
      <c r="L58" s="962">
        <v>0</v>
      </c>
      <c r="M58" s="965" t="s">
        <v>73</v>
      </c>
      <c r="N58" s="966"/>
      <c r="O58" s="967"/>
      <c r="P58" s="958"/>
      <c r="Q58" s="958"/>
      <c r="R58" s="94"/>
      <c r="S58" s="94"/>
      <c r="T58" s="94"/>
      <c r="U58" s="94"/>
      <c r="V58" s="94"/>
      <c r="W58" s="94"/>
      <c r="X58" s="94"/>
      <c r="Y58" s="94"/>
      <c r="Z58" s="94"/>
      <c r="AA58" s="24"/>
      <c r="AB58" s="24"/>
      <c r="AC58" s="24"/>
      <c r="AD58" s="24"/>
      <c r="AE58" s="24"/>
      <c r="AF58" s="24"/>
      <c r="AG58" s="24"/>
      <c r="AH58" s="24"/>
    </row>
    <row r="59" spans="1:34">
      <c r="A59" s="957"/>
      <c r="B59" s="958">
        <v>38</v>
      </c>
      <c r="C59" s="959" t="s">
        <v>85</v>
      </c>
      <c r="D59" s="958">
        <v>0</v>
      </c>
      <c r="E59" s="958">
        <v>9.33</v>
      </c>
      <c r="F59" s="960"/>
      <c r="G59" s="961"/>
      <c r="H59" s="962"/>
      <c r="I59" s="963"/>
      <c r="J59" s="964"/>
      <c r="K59" s="964">
        <v>25</v>
      </c>
      <c r="L59" s="962">
        <v>0</v>
      </c>
      <c r="M59" s="965" t="s">
        <v>84</v>
      </c>
      <c r="N59" s="966"/>
      <c r="O59" s="967"/>
      <c r="P59" s="958"/>
      <c r="Q59" s="958"/>
      <c r="R59" s="94"/>
      <c r="S59" s="94"/>
      <c r="T59" s="94"/>
      <c r="U59" s="94"/>
      <c r="V59" s="94"/>
      <c r="W59" s="94"/>
      <c r="X59" s="94"/>
      <c r="Y59" s="94"/>
      <c r="Z59" s="94"/>
      <c r="AA59" s="24"/>
      <c r="AB59" s="24"/>
      <c r="AC59" s="24"/>
      <c r="AD59" s="24"/>
      <c r="AE59" s="24"/>
      <c r="AF59" s="24"/>
      <c r="AG59" s="24"/>
      <c r="AH59" s="24"/>
    </row>
    <row r="60" spans="1:34">
      <c r="A60" s="957"/>
      <c r="B60" s="958">
        <v>39</v>
      </c>
      <c r="C60" s="959" t="s">
        <v>291</v>
      </c>
      <c r="D60" s="958">
        <v>0</v>
      </c>
      <c r="E60" s="958">
        <v>5.13</v>
      </c>
      <c r="F60" s="960"/>
      <c r="G60" s="961"/>
      <c r="H60" s="962"/>
      <c r="I60" s="963"/>
      <c r="J60" s="964"/>
      <c r="K60" s="964">
        <v>25</v>
      </c>
      <c r="L60" s="962">
        <v>0</v>
      </c>
      <c r="M60" s="965" t="s">
        <v>290</v>
      </c>
      <c r="N60" s="966"/>
      <c r="O60" s="967"/>
      <c r="P60" s="958"/>
      <c r="Q60" s="958"/>
      <c r="R60" s="94"/>
      <c r="S60" s="94"/>
      <c r="T60" s="94"/>
      <c r="U60" s="94"/>
      <c r="V60" s="94"/>
      <c r="W60" s="94"/>
      <c r="X60" s="94"/>
      <c r="Y60" s="94"/>
      <c r="Z60" s="94"/>
      <c r="AA60" s="24"/>
      <c r="AB60" s="24"/>
      <c r="AC60" s="24"/>
      <c r="AD60" s="24"/>
      <c r="AE60" s="24"/>
      <c r="AF60" s="24"/>
      <c r="AG60" s="24"/>
      <c r="AH60" s="24"/>
    </row>
    <row r="61" spans="1:34">
      <c r="A61" s="957"/>
      <c r="B61" s="958">
        <v>40</v>
      </c>
      <c r="C61" s="959" t="s">
        <v>454</v>
      </c>
      <c r="D61" s="958">
        <v>-1</v>
      </c>
      <c r="E61" s="958">
        <v>1.83</v>
      </c>
      <c r="F61" s="960"/>
      <c r="G61" s="961"/>
      <c r="H61" s="962"/>
      <c r="I61" s="963"/>
      <c r="J61" s="964"/>
      <c r="K61" s="964">
        <v>0</v>
      </c>
      <c r="L61" s="962">
        <v>0</v>
      </c>
      <c r="M61" s="965" t="s">
        <v>452</v>
      </c>
      <c r="N61" s="966"/>
      <c r="O61" s="967"/>
      <c r="P61" s="958"/>
      <c r="Q61" s="958"/>
      <c r="R61" s="94"/>
      <c r="S61" s="94"/>
      <c r="T61" s="94"/>
      <c r="U61" s="94"/>
      <c r="V61" s="94"/>
      <c r="W61" s="94"/>
      <c r="X61" s="94"/>
      <c r="Y61" s="94"/>
      <c r="Z61" s="94"/>
      <c r="AA61" s="24"/>
      <c r="AB61" s="24"/>
      <c r="AC61" s="24"/>
      <c r="AD61" s="24"/>
      <c r="AE61" s="24"/>
      <c r="AF61" s="24"/>
      <c r="AG61" s="24"/>
      <c r="AH61" s="24"/>
    </row>
    <row r="62" spans="1:34">
      <c r="A62" s="957"/>
      <c r="B62" s="958">
        <v>41</v>
      </c>
      <c r="C62" s="959" t="s">
        <v>157</v>
      </c>
      <c r="D62" s="958">
        <v>-3</v>
      </c>
      <c r="E62" s="958">
        <v>9.2360000000000007</v>
      </c>
      <c r="F62" s="960">
        <v>12.74</v>
      </c>
      <c r="G62" s="961">
        <v>13.8</v>
      </c>
      <c r="H62" s="962"/>
      <c r="I62" s="963"/>
      <c r="J62" s="964"/>
      <c r="K62" s="964">
        <v>20</v>
      </c>
      <c r="L62" s="962">
        <v>0</v>
      </c>
      <c r="M62" s="965" t="s">
        <v>158</v>
      </c>
      <c r="N62" s="966"/>
      <c r="O62" s="967"/>
      <c r="P62" s="958"/>
      <c r="Q62" s="958"/>
      <c r="R62" s="94"/>
      <c r="S62" s="94"/>
      <c r="T62" s="94"/>
      <c r="U62" s="94"/>
      <c r="V62" s="94"/>
      <c r="W62" s="94"/>
      <c r="X62" s="94"/>
      <c r="Y62" s="94"/>
      <c r="Z62" s="94"/>
      <c r="AA62" s="24"/>
      <c r="AB62" s="24"/>
      <c r="AC62" s="24"/>
      <c r="AD62" s="24"/>
      <c r="AE62" s="24"/>
      <c r="AF62" s="24"/>
      <c r="AG62" s="24"/>
      <c r="AH62" s="24"/>
    </row>
    <row r="63" spans="1:34">
      <c r="A63" s="957"/>
      <c r="B63" s="958">
        <v>42</v>
      </c>
      <c r="C63" s="959" t="s">
        <v>420</v>
      </c>
      <c r="D63" s="958">
        <v>-1</v>
      </c>
      <c r="E63" s="958">
        <v>4.83</v>
      </c>
      <c r="F63" s="960"/>
      <c r="G63" s="961"/>
      <c r="H63" s="962"/>
      <c r="I63" s="963"/>
      <c r="J63" s="964"/>
      <c r="K63" s="964">
        <v>25</v>
      </c>
      <c r="L63" s="962">
        <v>0</v>
      </c>
      <c r="M63" s="965" t="s">
        <v>419</v>
      </c>
      <c r="N63" s="966"/>
      <c r="O63" s="967"/>
      <c r="P63" s="958"/>
      <c r="Q63" s="958"/>
      <c r="R63" s="94"/>
      <c r="S63" s="94"/>
      <c r="T63" s="94"/>
      <c r="U63" s="94"/>
      <c r="V63" s="94"/>
      <c r="W63" s="94"/>
      <c r="X63" s="94"/>
      <c r="Y63" s="94"/>
      <c r="Z63" s="94"/>
      <c r="AA63" s="24"/>
      <c r="AB63" s="24"/>
      <c r="AC63" s="24"/>
      <c r="AD63" s="24"/>
      <c r="AE63" s="24"/>
      <c r="AF63" s="24"/>
      <c r="AG63" s="24"/>
      <c r="AH63" s="24"/>
    </row>
    <row r="64" spans="1:34">
      <c r="A64" s="957"/>
      <c r="B64" s="958">
        <v>43</v>
      </c>
      <c r="C64" s="959" t="s">
        <v>406</v>
      </c>
      <c r="D64" s="958">
        <v>-1</v>
      </c>
      <c r="E64" s="958">
        <v>4.34</v>
      </c>
      <c r="F64" s="960"/>
      <c r="G64" s="961"/>
      <c r="H64" s="962"/>
      <c r="I64" s="963"/>
      <c r="J64" s="964"/>
      <c r="K64" s="964">
        <v>25</v>
      </c>
      <c r="L64" s="962">
        <v>0</v>
      </c>
      <c r="M64" s="965" t="s">
        <v>405</v>
      </c>
      <c r="N64" s="966"/>
      <c r="O64" s="967"/>
      <c r="P64" s="958"/>
      <c r="Q64" s="958"/>
      <c r="R64" s="94"/>
      <c r="S64" s="94"/>
      <c r="T64" s="94"/>
      <c r="U64" s="94"/>
      <c r="V64" s="94"/>
      <c r="W64" s="94"/>
      <c r="X64" s="94"/>
      <c r="Y64" s="94"/>
      <c r="Z64" s="94"/>
      <c r="AA64" s="24"/>
      <c r="AB64" s="24"/>
      <c r="AC64" s="24"/>
      <c r="AD64" s="24"/>
      <c r="AE64" s="24"/>
      <c r="AF64" s="24"/>
      <c r="AG64" s="24"/>
      <c r="AH64" s="24"/>
    </row>
    <row r="65" spans="1:34">
      <c r="A65" s="957"/>
      <c r="B65" s="958">
        <v>44</v>
      </c>
      <c r="C65" s="959" t="s">
        <v>432</v>
      </c>
      <c r="D65" s="958">
        <v>0</v>
      </c>
      <c r="E65" s="958">
        <v>10.77</v>
      </c>
      <c r="F65" s="960"/>
      <c r="G65" s="961"/>
      <c r="H65" s="962"/>
      <c r="I65" s="963"/>
      <c r="J65" s="964"/>
      <c r="K65" s="964">
        <v>20</v>
      </c>
      <c r="L65" s="962">
        <v>0</v>
      </c>
      <c r="M65" s="965" t="s">
        <v>431</v>
      </c>
      <c r="N65" s="966"/>
      <c r="O65" s="967"/>
      <c r="P65" s="958"/>
      <c r="Q65" s="958"/>
      <c r="R65" s="94"/>
      <c r="S65" s="94"/>
      <c r="T65" s="94"/>
      <c r="U65" s="94"/>
      <c r="V65" s="94"/>
      <c r="W65" s="94"/>
      <c r="X65" s="94"/>
      <c r="Y65" s="94"/>
      <c r="Z65" s="94"/>
      <c r="AA65" s="24"/>
      <c r="AB65" s="24"/>
      <c r="AC65" s="24"/>
      <c r="AD65" s="24"/>
      <c r="AE65" s="24"/>
      <c r="AF65" s="24"/>
      <c r="AG65" s="24"/>
      <c r="AH65" s="24"/>
    </row>
    <row r="66" spans="1:34">
      <c r="A66" s="957"/>
      <c r="B66" s="958">
        <v>45</v>
      </c>
      <c r="C66" s="959" t="s">
        <v>433</v>
      </c>
      <c r="D66" s="958">
        <v>0</v>
      </c>
      <c r="E66" s="958">
        <v>10.56</v>
      </c>
      <c r="F66" s="960"/>
      <c r="G66" s="961"/>
      <c r="H66" s="962"/>
      <c r="I66" s="963"/>
      <c r="J66" s="964"/>
      <c r="K66" s="964">
        <v>25</v>
      </c>
      <c r="L66" s="962">
        <v>0</v>
      </c>
      <c r="M66" s="965" t="s">
        <v>431</v>
      </c>
      <c r="N66" s="966"/>
      <c r="O66" s="967"/>
      <c r="P66" s="958"/>
      <c r="Q66" s="958"/>
      <c r="R66" s="94"/>
      <c r="S66" s="94"/>
      <c r="T66" s="94"/>
      <c r="U66" s="94"/>
      <c r="V66" s="94"/>
      <c r="W66" s="94"/>
      <c r="X66" s="94"/>
      <c r="Y66" s="94"/>
      <c r="Z66" s="94"/>
      <c r="AA66" s="24"/>
      <c r="AB66" s="24"/>
      <c r="AC66" s="24"/>
      <c r="AD66" s="24"/>
      <c r="AE66" s="24"/>
      <c r="AF66" s="24"/>
      <c r="AG66" s="24"/>
      <c r="AH66" s="24"/>
    </row>
    <row r="67" spans="1:34">
      <c r="A67" s="957"/>
      <c r="B67" s="958">
        <v>46</v>
      </c>
      <c r="C67" s="959" t="s">
        <v>434</v>
      </c>
      <c r="D67" s="958">
        <v>0</v>
      </c>
      <c r="E67" s="958">
        <v>10.68</v>
      </c>
      <c r="F67" s="960"/>
      <c r="G67" s="961"/>
      <c r="H67" s="962"/>
      <c r="I67" s="963"/>
      <c r="J67" s="964"/>
      <c r="K67" s="964">
        <v>25</v>
      </c>
      <c r="L67" s="962">
        <v>0</v>
      </c>
      <c r="M67" s="965" t="s">
        <v>431</v>
      </c>
      <c r="N67" s="966"/>
      <c r="O67" s="967"/>
      <c r="P67" s="958"/>
      <c r="Q67" s="958"/>
      <c r="R67" s="94"/>
      <c r="S67" s="94"/>
      <c r="T67" s="94"/>
      <c r="U67" s="94"/>
      <c r="V67" s="94"/>
      <c r="W67" s="94"/>
      <c r="X67" s="94"/>
      <c r="Y67" s="94"/>
      <c r="Z67" s="94"/>
      <c r="AA67" s="24"/>
      <c r="AB67" s="24"/>
      <c r="AC67" s="24"/>
      <c r="AD67" s="24"/>
      <c r="AE67" s="24"/>
      <c r="AF67" s="24"/>
      <c r="AG67" s="24"/>
      <c r="AH67" s="24"/>
    </row>
    <row r="68" spans="1:34">
      <c r="A68" s="957"/>
      <c r="B68" s="958">
        <v>47</v>
      </c>
      <c r="C68" s="959" t="s">
        <v>460</v>
      </c>
      <c r="D68" s="958">
        <v>0</v>
      </c>
      <c r="E68" s="958">
        <v>10.050000000000001</v>
      </c>
      <c r="F68" s="960">
        <v>10.93</v>
      </c>
      <c r="G68" s="961"/>
      <c r="H68" s="962"/>
      <c r="I68" s="963"/>
      <c r="J68" s="964"/>
      <c r="K68" s="964">
        <v>25</v>
      </c>
      <c r="L68" s="962">
        <v>0</v>
      </c>
      <c r="M68" s="965" t="s">
        <v>459</v>
      </c>
      <c r="N68" s="966"/>
      <c r="O68" s="967"/>
      <c r="P68" s="958"/>
      <c r="Q68" s="958"/>
      <c r="R68" s="94"/>
      <c r="S68" s="94"/>
      <c r="T68" s="94"/>
      <c r="U68" s="94"/>
      <c r="V68" s="94"/>
      <c r="W68" s="94"/>
      <c r="X68" s="94"/>
      <c r="Y68" s="94"/>
      <c r="Z68" s="94"/>
      <c r="AA68" s="24"/>
      <c r="AB68" s="24"/>
      <c r="AC68" s="24"/>
      <c r="AD68" s="24"/>
      <c r="AE68" s="24"/>
      <c r="AF68" s="24"/>
      <c r="AG68" s="24"/>
      <c r="AH68" s="24"/>
    </row>
    <row r="69" spans="1:34">
      <c r="A69" s="957"/>
      <c r="B69" s="958">
        <v>48</v>
      </c>
      <c r="C69" s="959" t="s">
        <v>159</v>
      </c>
      <c r="D69" s="958">
        <v>-2</v>
      </c>
      <c r="E69" s="958">
        <v>6.3520000000000003</v>
      </c>
      <c r="F69" s="960">
        <v>10.329000000000001</v>
      </c>
      <c r="G69" s="961"/>
      <c r="H69" s="962"/>
      <c r="I69" s="963"/>
      <c r="J69" s="964"/>
      <c r="K69" s="964">
        <v>25</v>
      </c>
      <c r="L69" s="962">
        <v>0</v>
      </c>
      <c r="M69" s="965" t="s">
        <v>328</v>
      </c>
      <c r="N69" s="966"/>
      <c r="O69" s="967"/>
      <c r="P69" s="958"/>
      <c r="Q69" s="958"/>
      <c r="R69" s="94"/>
      <c r="S69" s="94"/>
      <c r="T69" s="94"/>
      <c r="U69" s="94"/>
      <c r="V69" s="94"/>
      <c r="W69" s="94"/>
      <c r="X69" s="94"/>
      <c r="Y69" s="94"/>
      <c r="Z69" s="94"/>
      <c r="AA69" s="24"/>
      <c r="AB69" s="24"/>
      <c r="AC69" s="24"/>
      <c r="AD69" s="24"/>
      <c r="AE69" s="24"/>
      <c r="AF69" s="24"/>
      <c r="AG69" s="24"/>
      <c r="AH69" s="24"/>
    </row>
    <row r="70" spans="1:34">
      <c r="A70" s="957"/>
      <c r="B70" s="958">
        <v>49</v>
      </c>
      <c r="C70" s="959" t="s">
        <v>160</v>
      </c>
      <c r="D70" s="958">
        <v>-2</v>
      </c>
      <c r="E70" s="958">
        <v>9.4</v>
      </c>
      <c r="F70" s="960">
        <v>12.8</v>
      </c>
      <c r="G70" s="961"/>
      <c r="H70" s="962"/>
      <c r="I70" s="963"/>
      <c r="J70" s="964"/>
      <c r="K70" s="964">
        <v>25</v>
      </c>
      <c r="L70" s="962">
        <v>0</v>
      </c>
      <c r="M70" s="965" t="s">
        <v>161</v>
      </c>
      <c r="N70" s="966">
        <v>110.1</v>
      </c>
      <c r="O70" s="967"/>
      <c r="P70" s="958"/>
      <c r="Q70" s="958"/>
      <c r="R70" s="94"/>
      <c r="S70" s="94"/>
      <c r="T70" s="94"/>
      <c r="U70" s="94"/>
      <c r="V70" s="94"/>
      <c r="W70" s="94"/>
      <c r="X70" s="94"/>
      <c r="Y70" s="94"/>
      <c r="Z70" s="94"/>
      <c r="AA70" s="24"/>
      <c r="AB70" s="24"/>
      <c r="AC70" s="24"/>
      <c r="AD70" s="24"/>
      <c r="AE70" s="24"/>
      <c r="AF70" s="24"/>
      <c r="AG70" s="24"/>
      <c r="AH70" s="24"/>
    </row>
    <row r="71" spans="1:34">
      <c r="A71" s="957"/>
      <c r="B71" s="958">
        <v>50</v>
      </c>
      <c r="C71" s="959" t="s">
        <v>162</v>
      </c>
      <c r="D71" s="958">
        <v>-1</v>
      </c>
      <c r="E71" s="958">
        <v>2.8650000000000002</v>
      </c>
      <c r="F71" s="960"/>
      <c r="G71" s="961"/>
      <c r="H71" s="962"/>
      <c r="I71" s="963"/>
      <c r="J71" s="964"/>
      <c r="K71" s="964">
        <v>25</v>
      </c>
      <c r="L71" s="962">
        <v>0</v>
      </c>
      <c r="M71" s="965" t="s">
        <v>163</v>
      </c>
      <c r="N71" s="966"/>
      <c r="O71" s="967"/>
      <c r="P71" s="958"/>
      <c r="Q71" s="958"/>
      <c r="R71" s="94"/>
      <c r="S71" s="94"/>
      <c r="T71" s="94"/>
      <c r="U71" s="94"/>
      <c r="V71" s="94"/>
      <c r="W71" s="94"/>
      <c r="X71" s="94"/>
      <c r="Y71" s="94"/>
      <c r="Z71" s="94"/>
      <c r="AA71" s="24"/>
      <c r="AB71" s="24"/>
      <c r="AC71" s="24"/>
      <c r="AD71" s="24"/>
      <c r="AE71" s="24"/>
      <c r="AF71" s="24"/>
      <c r="AG71" s="24"/>
      <c r="AH71" s="24"/>
    </row>
    <row r="72" spans="1:34">
      <c r="A72" s="957"/>
      <c r="B72" s="958">
        <v>51</v>
      </c>
      <c r="C72" s="959" t="s">
        <v>476</v>
      </c>
      <c r="D72" s="958">
        <v>0</v>
      </c>
      <c r="E72" s="958">
        <v>2.65</v>
      </c>
      <c r="F72" s="960"/>
      <c r="G72" s="961"/>
      <c r="H72" s="962"/>
      <c r="I72" s="963"/>
      <c r="J72" s="964"/>
      <c r="K72" s="964">
        <v>25</v>
      </c>
      <c r="L72" s="962">
        <v>0</v>
      </c>
      <c r="M72" s="965" t="s">
        <v>475</v>
      </c>
      <c r="N72" s="966"/>
      <c r="O72" s="967"/>
      <c r="P72" s="958"/>
      <c r="Q72" s="958"/>
      <c r="R72" s="94"/>
      <c r="S72" s="94"/>
      <c r="T72" s="94"/>
      <c r="U72" s="94"/>
      <c r="V72" s="94"/>
      <c r="W72" s="94"/>
      <c r="X72" s="94"/>
      <c r="Y72" s="94"/>
      <c r="Z72" s="94"/>
      <c r="AA72" s="24"/>
      <c r="AB72" s="24"/>
      <c r="AC72" s="24"/>
      <c r="AD72" s="24"/>
      <c r="AE72" s="24"/>
      <c r="AF72" s="24"/>
      <c r="AG72" s="24"/>
      <c r="AH72" s="24"/>
    </row>
    <row r="73" spans="1:34">
      <c r="A73" s="957"/>
      <c r="B73" s="958">
        <v>52</v>
      </c>
      <c r="C73" s="959" t="s">
        <v>477</v>
      </c>
      <c r="D73" s="958">
        <v>0</v>
      </c>
      <c r="E73" s="958">
        <v>3.46</v>
      </c>
      <c r="F73" s="960"/>
      <c r="G73" s="961"/>
      <c r="H73" s="962"/>
      <c r="I73" s="963"/>
      <c r="J73" s="964"/>
      <c r="K73" s="964">
        <v>25</v>
      </c>
      <c r="L73" s="962">
        <v>0</v>
      </c>
      <c r="M73" s="965" t="s">
        <v>475</v>
      </c>
      <c r="N73" s="966"/>
      <c r="O73" s="967"/>
      <c r="P73" s="958"/>
      <c r="Q73" s="958"/>
      <c r="R73" s="94"/>
      <c r="S73" s="94"/>
      <c r="T73" s="94"/>
      <c r="U73" s="94"/>
      <c r="V73" s="94"/>
      <c r="W73" s="94"/>
      <c r="X73" s="94"/>
      <c r="Y73" s="94"/>
      <c r="Z73" s="94"/>
      <c r="AA73" s="24"/>
      <c r="AB73" s="24"/>
      <c r="AC73" s="24"/>
      <c r="AD73" s="24"/>
      <c r="AE73" s="24"/>
      <c r="AF73" s="24"/>
      <c r="AG73" s="24"/>
      <c r="AH73" s="24"/>
    </row>
    <row r="74" spans="1:34">
      <c r="A74" s="957"/>
      <c r="B74" s="958">
        <v>53</v>
      </c>
      <c r="C74" s="959" t="s">
        <v>478</v>
      </c>
      <c r="D74" s="958">
        <v>0</v>
      </c>
      <c r="E74" s="958">
        <v>4.1500000000000004</v>
      </c>
      <c r="F74" s="960"/>
      <c r="G74" s="961"/>
      <c r="H74" s="962"/>
      <c r="I74" s="963"/>
      <c r="J74" s="964"/>
      <c r="K74" s="964">
        <v>25</v>
      </c>
      <c r="L74" s="962">
        <v>0</v>
      </c>
      <c r="M74" s="965" t="s">
        <v>475</v>
      </c>
      <c r="N74" s="966"/>
      <c r="O74" s="967"/>
      <c r="P74" s="958"/>
      <c r="Q74" s="958"/>
      <c r="R74" s="94"/>
      <c r="S74" s="94"/>
      <c r="T74" s="94"/>
      <c r="U74" s="94"/>
      <c r="V74" s="94"/>
      <c r="W74" s="94"/>
      <c r="X74" s="94"/>
      <c r="Y74" s="94"/>
      <c r="Z74" s="94"/>
      <c r="AA74" s="24"/>
      <c r="AB74" s="24"/>
      <c r="AC74" s="24"/>
      <c r="AD74" s="24"/>
      <c r="AE74" s="24"/>
      <c r="AF74" s="24"/>
      <c r="AG74" s="24"/>
      <c r="AH74" s="24"/>
    </row>
    <row r="75" spans="1:34">
      <c r="A75" s="957"/>
      <c r="B75" s="958">
        <v>54</v>
      </c>
      <c r="C75" s="959" t="s">
        <v>64</v>
      </c>
      <c r="D75" s="958">
        <v>-1</v>
      </c>
      <c r="E75" s="958">
        <v>2.92</v>
      </c>
      <c r="F75" s="960"/>
      <c r="G75" s="961"/>
      <c r="H75" s="962"/>
      <c r="I75" s="963"/>
      <c r="J75" s="964"/>
      <c r="K75" s="964">
        <v>25</v>
      </c>
      <c r="L75" s="962">
        <v>0</v>
      </c>
      <c r="M75" s="965" t="s">
        <v>63</v>
      </c>
      <c r="N75" s="966"/>
      <c r="O75" s="967"/>
      <c r="P75" s="958"/>
      <c r="Q75" s="958"/>
      <c r="R75" s="94"/>
      <c r="S75" s="94"/>
      <c r="T75" s="94"/>
      <c r="U75" s="94"/>
      <c r="V75" s="94"/>
      <c r="W75" s="94"/>
      <c r="X75" s="94"/>
      <c r="Y75" s="94"/>
      <c r="Z75" s="94"/>
      <c r="AA75" s="24"/>
      <c r="AB75" s="24"/>
      <c r="AC75" s="24"/>
      <c r="AD75" s="24"/>
      <c r="AE75" s="24"/>
      <c r="AF75" s="24"/>
      <c r="AG75" s="24"/>
      <c r="AH75" s="24"/>
    </row>
    <row r="76" spans="1:34">
      <c r="A76" s="957"/>
      <c r="B76" s="958">
        <v>55</v>
      </c>
      <c r="C76" s="959" t="s">
        <v>65</v>
      </c>
      <c r="D76" s="958">
        <v>-1</v>
      </c>
      <c r="E76" s="958">
        <v>3.82</v>
      </c>
      <c r="F76" s="960"/>
      <c r="G76" s="961"/>
      <c r="H76" s="962"/>
      <c r="I76" s="963"/>
      <c r="J76" s="964"/>
      <c r="K76" s="964">
        <v>25</v>
      </c>
      <c r="L76" s="962">
        <v>0</v>
      </c>
      <c r="M76" s="965" t="s">
        <v>63</v>
      </c>
      <c r="N76" s="966"/>
      <c r="O76" s="967"/>
      <c r="P76" s="958"/>
      <c r="Q76" s="958"/>
      <c r="R76" s="94"/>
      <c r="S76" s="94"/>
      <c r="T76" s="94"/>
      <c r="U76" s="94"/>
      <c r="V76" s="94"/>
      <c r="W76" s="94"/>
      <c r="X76" s="94"/>
      <c r="Y76" s="94"/>
      <c r="Z76" s="94"/>
      <c r="AA76" s="24"/>
      <c r="AB76" s="24"/>
      <c r="AC76" s="24"/>
      <c r="AD76" s="24"/>
      <c r="AE76" s="24"/>
      <c r="AF76" s="24"/>
      <c r="AG76" s="24"/>
      <c r="AH76" s="24"/>
    </row>
    <row r="77" spans="1:34">
      <c r="A77" s="957"/>
      <c r="B77" s="958">
        <v>56</v>
      </c>
      <c r="C77" s="959" t="s">
        <v>66</v>
      </c>
      <c r="D77" s="958">
        <v>-1</v>
      </c>
      <c r="E77" s="958">
        <v>3.98</v>
      </c>
      <c r="F77" s="960"/>
      <c r="G77" s="961"/>
      <c r="H77" s="962"/>
      <c r="I77" s="963"/>
      <c r="J77" s="964"/>
      <c r="K77" s="964">
        <v>25</v>
      </c>
      <c r="L77" s="962">
        <v>0</v>
      </c>
      <c r="M77" s="965" t="s">
        <v>63</v>
      </c>
      <c r="N77" s="966"/>
      <c r="O77" s="967"/>
      <c r="P77" s="958"/>
      <c r="Q77" s="958"/>
      <c r="R77" s="94"/>
      <c r="S77" s="94"/>
      <c r="T77" s="94"/>
      <c r="U77" s="94"/>
      <c r="V77" s="94"/>
      <c r="W77" s="94"/>
      <c r="X77" s="94"/>
      <c r="Y77" s="94"/>
      <c r="Z77" s="94"/>
      <c r="AA77" s="24"/>
      <c r="AB77" s="24"/>
      <c r="AC77" s="24"/>
      <c r="AD77" s="24"/>
      <c r="AE77" s="24"/>
      <c r="AF77" s="24"/>
      <c r="AG77" s="24"/>
      <c r="AH77" s="24"/>
    </row>
    <row r="78" spans="1:34">
      <c r="A78" s="957"/>
      <c r="B78" s="958">
        <v>57</v>
      </c>
      <c r="C78" s="959" t="s">
        <v>467</v>
      </c>
      <c r="D78" s="958">
        <v>-1</v>
      </c>
      <c r="E78" s="958">
        <v>8.85</v>
      </c>
      <c r="F78" s="960"/>
      <c r="G78" s="961"/>
      <c r="H78" s="962"/>
      <c r="I78" s="963"/>
      <c r="J78" s="964"/>
      <c r="K78" s="964">
        <v>25</v>
      </c>
      <c r="L78" s="962">
        <v>0</v>
      </c>
      <c r="M78" s="965" t="s">
        <v>465</v>
      </c>
      <c r="N78" s="966"/>
      <c r="O78" s="967"/>
      <c r="P78" s="958"/>
      <c r="Q78" s="958"/>
      <c r="R78" s="94"/>
      <c r="S78" s="94"/>
      <c r="T78" s="94"/>
      <c r="U78" s="94"/>
      <c r="V78" s="94"/>
      <c r="W78" s="94"/>
      <c r="X78" s="94"/>
      <c r="Y78" s="94"/>
      <c r="Z78" s="94"/>
      <c r="AA78" s="24"/>
      <c r="AB78" s="24"/>
      <c r="AC78" s="24"/>
      <c r="AD78" s="24"/>
      <c r="AE78" s="24"/>
      <c r="AF78" s="24"/>
      <c r="AG78" s="24"/>
      <c r="AH78" s="24"/>
    </row>
    <row r="79" spans="1:34">
      <c r="A79" s="957"/>
      <c r="B79" s="958">
        <v>58</v>
      </c>
      <c r="C79" s="959" t="s">
        <v>468</v>
      </c>
      <c r="D79" s="958">
        <v>-1</v>
      </c>
      <c r="E79" s="958">
        <v>9.18</v>
      </c>
      <c r="F79" s="960"/>
      <c r="G79" s="961"/>
      <c r="H79" s="962"/>
      <c r="I79" s="963"/>
      <c r="J79" s="964"/>
      <c r="K79" s="964">
        <v>25</v>
      </c>
      <c r="L79" s="962">
        <v>0</v>
      </c>
      <c r="M79" s="965" t="s">
        <v>465</v>
      </c>
      <c r="N79" s="966"/>
      <c r="O79" s="967"/>
      <c r="P79" s="958"/>
      <c r="Q79" s="958"/>
      <c r="R79" s="94"/>
      <c r="S79" s="94"/>
      <c r="T79" s="94"/>
      <c r="U79" s="94"/>
      <c r="V79" s="94"/>
      <c r="W79" s="94"/>
      <c r="X79" s="94"/>
      <c r="Y79" s="94"/>
      <c r="Z79" s="94"/>
      <c r="AA79" s="24"/>
      <c r="AB79" s="24"/>
      <c r="AC79" s="24"/>
      <c r="AD79" s="24"/>
      <c r="AE79" s="24"/>
      <c r="AF79" s="24"/>
      <c r="AG79" s="24"/>
      <c r="AH79" s="24"/>
    </row>
    <row r="80" spans="1:34">
      <c r="A80" s="957"/>
      <c r="B80" s="958">
        <v>59</v>
      </c>
      <c r="C80" s="959" t="s">
        <v>466</v>
      </c>
      <c r="D80" s="958">
        <v>-1</v>
      </c>
      <c r="E80" s="958">
        <v>8.49</v>
      </c>
      <c r="F80" s="960"/>
      <c r="G80" s="961"/>
      <c r="H80" s="962"/>
      <c r="I80" s="963"/>
      <c r="J80" s="964"/>
      <c r="K80" s="964">
        <v>25</v>
      </c>
      <c r="L80" s="962">
        <v>0</v>
      </c>
      <c r="M80" s="965" t="s">
        <v>465</v>
      </c>
      <c r="N80" s="966"/>
      <c r="O80" s="967"/>
      <c r="P80" s="958"/>
      <c r="Q80" s="958"/>
      <c r="R80" s="94"/>
      <c r="S80" s="94"/>
      <c r="T80" s="94"/>
      <c r="U80" s="94"/>
      <c r="V80" s="94"/>
      <c r="W80" s="94"/>
      <c r="X80" s="94"/>
      <c r="Y80" s="94"/>
      <c r="Z80" s="94"/>
      <c r="AA80" s="24"/>
      <c r="AB80" s="24"/>
      <c r="AC80" s="24"/>
      <c r="AD80" s="24"/>
      <c r="AE80" s="24"/>
      <c r="AF80" s="24"/>
      <c r="AG80" s="24"/>
      <c r="AH80" s="24"/>
    </row>
    <row r="81" spans="1:34">
      <c r="A81" s="957"/>
      <c r="B81" s="958">
        <v>60</v>
      </c>
      <c r="C81" s="959" t="s">
        <v>458</v>
      </c>
      <c r="D81" s="958">
        <v>0</v>
      </c>
      <c r="E81" s="958">
        <v>13.9</v>
      </c>
      <c r="F81" s="960"/>
      <c r="G81" s="961"/>
      <c r="H81" s="962"/>
      <c r="I81" s="963"/>
      <c r="J81" s="964"/>
      <c r="K81" s="964">
        <v>25</v>
      </c>
      <c r="L81" s="962">
        <v>0</v>
      </c>
      <c r="M81" s="965" t="s">
        <v>457</v>
      </c>
      <c r="N81" s="966"/>
      <c r="O81" s="967"/>
      <c r="P81" s="958"/>
      <c r="Q81" s="958"/>
      <c r="R81" s="94"/>
      <c r="S81" s="94"/>
      <c r="T81" s="94"/>
      <c r="U81" s="94"/>
      <c r="V81" s="94"/>
      <c r="W81" s="94"/>
      <c r="X81" s="94"/>
      <c r="Y81" s="94"/>
      <c r="Z81" s="94"/>
      <c r="AA81" s="24"/>
      <c r="AB81" s="24"/>
      <c r="AC81" s="24"/>
      <c r="AD81" s="24"/>
      <c r="AE81" s="24"/>
      <c r="AF81" s="24"/>
      <c r="AG81" s="24"/>
      <c r="AH81" s="24"/>
    </row>
    <row r="82" spans="1:34">
      <c r="A82" s="957"/>
      <c r="B82" s="958">
        <v>61</v>
      </c>
      <c r="C82" s="959" t="s">
        <v>164</v>
      </c>
      <c r="D82" s="958">
        <v>-2</v>
      </c>
      <c r="E82" s="968">
        <v>-0.2</v>
      </c>
      <c r="F82" s="960">
        <v>6.51</v>
      </c>
      <c r="G82" s="961"/>
      <c r="H82" s="962"/>
      <c r="I82" s="963"/>
      <c r="J82" s="964"/>
      <c r="K82" s="964">
        <v>20</v>
      </c>
      <c r="L82" s="962">
        <v>0</v>
      </c>
      <c r="M82" s="965" t="s">
        <v>165</v>
      </c>
      <c r="N82" s="966"/>
      <c r="O82" s="967"/>
      <c r="P82" s="958"/>
      <c r="Q82" s="958"/>
      <c r="R82" s="94"/>
      <c r="S82" s="94"/>
      <c r="T82" s="94"/>
      <c r="U82" s="94"/>
      <c r="V82" s="94"/>
      <c r="W82" s="94"/>
      <c r="X82" s="94"/>
      <c r="Y82" s="94"/>
      <c r="Z82" s="94"/>
      <c r="AA82" s="24"/>
      <c r="AB82" s="24"/>
      <c r="AC82" s="24"/>
      <c r="AD82" s="24"/>
      <c r="AE82" s="24"/>
      <c r="AF82" s="24"/>
      <c r="AG82" s="24"/>
      <c r="AH82" s="24"/>
    </row>
    <row r="83" spans="1:34">
      <c r="A83" s="957"/>
      <c r="B83" s="958">
        <v>62</v>
      </c>
      <c r="C83" s="959" t="s">
        <v>134</v>
      </c>
      <c r="D83" s="958">
        <v>-3</v>
      </c>
      <c r="E83" s="958">
        <v>3.1280000000000001</v>
      </c>
      <c r="F83" s="960">
        <v>4.7610000000000001</v>
      </c>
      <c r="G83" s="961">
        <v>6.3959999999999999</v>
      </c>
      <c r="H83" s="962"/>
      <c r="I83" s="963"/>
      <c r="J83" s="964"/>
      <c r="K83" s="964">
        <v>25</v>
      </c>
      <c r="L83" s="962">
        <v>0</v>
      </c>
      <c r="M83" s="965" t="s">
        <v>352</v>
      </c>
      <c r="N83" s="966"/>
      <c r="O83" s="967"/>
      <c r="P83" s="958"/>
      <c r="Q83" s="958"/>
      <c r="R83" s="94"/>
      <c r="S83" s="94"/>
      <c r="T83" s="94"/>
      <c r="U83" s="94"/>
      <c r="V83" s="94"/>
      <c r="W83" s="94"/>
      <c r="X83" s="94"/>
      <c r="Y83" s="94"/>
      <c r="Z83" s="94"/>
      <c r="AA83" s="24"/>
      <c r="AB83" s="24"/>
      <c r="AC83" s="24"/>
      <c r="AD83" s="24"/>
      <c r="AE83" s="24"/>
      <c r="AF83" s="24"/>
      <c r="AG83" s="24"/>
      <c r="AH83" s="24"/>
    </row>
    <row r="84" spans="1:34">
      <c r="A84" s="957"/>
      <c r="B84" s="958">
        <v>63</v>
      </c>
      <c r="C84" s="959" t="s">
        <v>296</v>
      </c>
      <c r="D84" s="958">
        <v>0</v>
      </c>
      <c r="E84" s="958">
        <v>8.2100000000000009</v>
      </c>
      <c r="F84" s="960"/>
      <c r="G84" s="961"/>
      <c r="H84" s="962"/>
      <c r="I84" s="963"/>
      <c r="J84" s="964"/>
      <c r="K84" s="964">
        <v>25</v>
      </c>
      <c r="L84" s="962">
        <v>0</v>
      </c>
      <c r="M84" s="965" t="s">
        <v>295</v>
      </c>
      <c r="N84" s="966"/>
      <c r="O84" s="967"/>
      <c r="P84" s="958"/>
      <c r="Q84" s="958"/>
      <c r="R84" s="94"/>
      <c r="S84" s="94"/>
      <c r="T84" s="94"/>
      <c r="U84" s="94"/>
      <c r="V84" s="94"/>
      <c r="W84" s="94"/>
      <c r="X84" s="94"/>
      <c r="Y84" s="94"/>
      <c r="Z84" s="94"/>
      <c r="AA84" s="24"/>
      <c r="AB84" s="24"/>
      <c r="AC84" s="24"/>
      <c r="AD84" s="24"/>
      <c r="AE84" s="24"/>
      <c r="AF84" s="24"/>
      <c r="AG84" s="24"/>
      <c r="AH84" s="24"/>
    </row>
    <row r="85" spans="1:34">
      <c r="A85" s="957"/>
      <c r="B85" s="958">
        <v>64</v>
      </c>
      <c r="C85" s="959" t="s">
        <v>417</v>
      </c>
      <c r="D85" s="958">
        <v>0</v>
      </c>
      <c r="E85" s="958">
        <v>4.83</v>
      </c>
      <c r="F85" s="960">
        <v>9.1999999999999993</v>
      </c>
      <c r="G85" s="961"/>
      <c r="H85" s="962"/>
      <c r="I85" s="963"/>
      <c r="J85" s="964"/>
      <c r="K85" s="964">
        <v>25</v>
      </c>
      <c r="L85" s="962">
        <v>0</v>
      </c>
      <c r="M85" s="965" t="s">
        <v>416</v>
      </c>
      <c r="N85" s="966"/>
      <c r="O85" s="967"/>
      <c r="P85" s="958"/>
      <c r="Q85" s="958"/>
      <c r="R85" s="94"/>
      <c r="S85" s="94"/>
      <c r="T85" s="94"/>
      <c r="U85" s="94"/>
      <c r="V85" s="94"/>
      <c r="W85" s="94"/>
      <c r="X85" s="94"/>
      <c r="Y85" s="94"/>
      <c r="Z85" s="94"/>
      <c r="AA85" s="24"/>
      <c r="AB85" s="24"/>
      <c r="AC85" s="24"/>
      <c r="AD85" s="24"/>
      <c r="AE85" s="24"/>
      <c r="AF85" s="24"/>
      <c r="AG85" s="24"/>
      <c r="AH85" s="24"/>
    </row>
    <row r="86" spans="1:34">
      <c r="A86" s="957"/>
      <c r="B86" s="958">
        <v>65</v>
      </c>
      <c r="C86" s="959" t="s">
        <v>82</v>
      </c>
      <c r="D86" s="958">
        <v>-1</v>
      </c>
      <c r="E86" s="958">
        <v>10.01</v>
      </c>
      <c r="F86" s="960"/>
      <c r="G86" s="961"/>
      <c r="H86" s="962"/>
      <c r="I86" s="963"/>
      <c r="J86" s="964"/>
      <c r="K86" s="964">
        <v>25</v>
      </c>
      <c r="L86" s="962">
        <v>0</v>
      </c>
      <c r="M86" s="965" t="s">
        <v>81</v>
      </c>
      <c r="N86" s="966"/>
      <c r="O86" s="967"/>
      <c r="P86" s="958"/>
      <c r="Q86" s="958"/>
      <c r="R86" s="94"/>
      <c r="S86" s="94"/>
      <c r="T86" s="94"/>
      <c r="U86" s="94"/>
      <c r="V86" s="94"/>
      <c r="W86" s="94"/>
      <c r="X86" s="94"/>
      <c r="Y86" s="94"/>
      <c r="Z86" s="94"/>
      <c r="AA86" s="24"/>
      <c r="AB86" s="24"/>
      <c r="AC86" s="24"/>
      <c r="AD86" s="24"/>
      <c r="AE86" s="24"/>
      <c r="AF86" s="24"/>
      <c r="AG86" s="24"/>
      <c r="AH86" s="24"/>
    </row>
    <row r="87" spans="1:34">
      <c r="A87" s="957"/>
      <c r="B87" s="958">
        <v>66</v>
      </c>
      <c r="C87" s="959" t="s">
        <v>166</v>
      </c>
      <c r="D87" s="958">
        <v>-1</v>
      </c>
      <c r="E87" s="958">
        <v>10.199999999999999</v>
      </c>
      <c r="F87" s="960"/>
      <c r="G87" s="961"/>
      <c r="H87" s="962"/>
      <c r="I87" s="963"/>
      <c r="J87" s="964"/>
      <c r="K87" s="964">
        <v>25</v>
      </c>
      <c r="L87" s="962">
        <v>0</v>
      </c>
      <c r="M87" s="965" t="s">
        <v>81</v>
      </c>
      <c r="N87" s="966"/>
      <c r="O87" s="967"/>
      <c r="P87" s="958"/>
      <c r="Q87" s="958"/>
      <c r="R87" s="94"/>
      <c r="S87" s="94"/>
      <c r="T87" s="94"/>
      <c r="U87" s="94"/>
      <c r="V87" s="94"/>
      <c r="W87" s="94"/>
      <c r="X87" s="94"/>
      <c r="Y87" s="94"/>
      <c r="Z87" s="94"/>
      <c r="AA87" s="24"/>
      <c r="AB87" s="24"/>
      <c r="AC87" s="24"/>
      <c r="AD87" s="24"/>
      <c r="AE87" s="24"/>
      <c r="AF87" s="24"/>
      <c r="AG87" s="24"/>
      <c r="AH87" s="24"/>
    </row>
    <row r="88" spans="1:34">
      <c r="A88" s="957"/>
      <c r="B88" s="958">
        <v>67</v>
      </c>
      <c r="C88" s="959" t="s">
        <v>83</v>
      </c>
      <c r="D88" s="958">
        <v>-1</v>
      </c>
      <c r="E88" s="958">
        <v>10.17</v>
      </c>
      <c r="F88" s="960"/>
      <c r="G88" s="961"/>
      <c r="H88" s="962"/>
      <c r="I88" s="963"/>
      <c r="J88" s="964"/>
      <c r="K88" s="964">
        <v>25</v>
      </c>
      <c r="L88" s="962">
        <v>0</v>
      </c>
      <c r="M88" s="965" t="s">
        <v>81</v>
      </c>
      <c r="N88" s="966"/>
      <c r="O88" s="967"/>
      <c r="P88" s="958"/>
      <c r="Q88" s="958"/>
      <c r="R88" s="94"/>
      <c r="S88" s="94"/>
      <c r="T88" s="94"/>
      <c r="U88" s="94"/>
      <c r="V88" s="94"/>
      <c r="W88" s="94"/>
      <c r="X88" s="94"/>
      <c r="Y88" s="94"/>
      <c r="Z88" s="94"/>
      <c r="AA88" s="24"/>
      <c r="AB88" s="24"/>
      <c r="AC88" s="24"/>
      <c r="AD88" s="24"/>
      <c r="AE88" s="24"/>
      <c r="AF88" s="24"/>
      <c r="AG88" s="24"/>
      <c r="AH88" s="24"/>
    </row>
    <row r="89" spans="1:34">
      <c r="A89" s="957"/>
      <c r="B89" s="958">
        <v>68</v>
      </c>
      <c r="C89" s="959" t="s">
        <v>167</v>
      </c>
      <c r="D89" s="958">
        <v>-1</v>
      </c>
      <c r="E89" s="958">
        <v>4.37</v>
      </c>
      <c r="F89" s="960"/>
      <c r="G89" s="961"/>
      <c r="H89" s="962"/>
      <c r="I89" s="963"/>
      <c r="J89" s="964"/>
      <c r="K89" s="964">
        <v>25</v>
      </c>
      <c r="L89" s="949">
        <v>0</v>
      </c>
      <c r="M89" s="965" t="s">
        <v>168</v>
      </c>
      <c r="N89" s="966"/>
      <c r="O89" s="967"/>
      <c r="P89" s="958"/>
      <c r="Q89" s="958"/>
      <c r="R89" s="94"/>
      <c r="S89" s="94"/>
      <c r="T89" s="94"/>
      <c r="U89" s="94"/>
      <c r="V89" s="94"/>
      <c r="W89" s="94"/>
      <c r="X89" s="94"/>
      <c r="Y89" s="94"/>
      <c r="Z89" s="94"/>
      <c r="AA89" s="24"/>
      <c r="AB89" s="24"/>
      <c r="AC89" s="24"/>
      <c r="AD89" s="24"/>
      <c r="AE89" s="24"/>
      <c r="AF89" s="24"/>
      <c r="AG89" s="24"/>
      <c r="AH89" s="24"/>
    </row>
    <row r="90" spans="1:34">
      <c r="A90" s="957"/>
      <c r="B90" s="958">
        <v>69</v>
      </c>
      <c r="C90" s="959" t="s">
        <v>169</v>
      </c>
      <c r="D90" s="958">
        <v>-1</v>
      </c>
      <c r="E90" s="958">
        <v>3.46</v>
      </c>
      <c r="F90" s="960"/>
      <c r="G90" s="961"/>
      <c r="H90" s="962"/>
      <c r="I90" s="963"/>
      <c r="J90" s="964"/>
      <c r="K90" s="964"/>
      <c r="L90" s="962"/>
      <c r="M90" s="965" t="s">
        <v>353</v>
      </c>
      <c r="N90" s="966"/>
      <c r="O90" s="967"/>
      <c r="P90" s="958"/>
      <c r="Q90" s="958"/>
      <c r="R90" s="94"/>
      <c r="S90" s="94"/>
      <c r="T90" s="94"/>
      <c r="U90" s="94"/>
      <c r="V90" s="94"/>
      <c r="W90" s="94"/>
      <c r="X90" s="94"/>
      <c r="Y90" s="94"/>
      <c r="Z90" s="94"/>
      <c r="AA90" s="24"/>
      <c r="AB90" s="24"/>
      <c r="AC90" s="24"/>
      <c r="AD90" s="24"/>
      <c r="AE90" s="24"/>
      <c r="AF90" s="24"/>
      <c r="AG90" s="24"/>
      <c r="AH90" s="24"/>
    </row>
    <row r="91" spans="1:34">
      <c r="A91" s="957"/>
      <c r="B91" s="958">
        <v>70</v>
      </c>
      <c r="C91" s="959" t="s">
        <v>395</v>
      </c>
      <c r="D91" s="958">
        <v>-2</v>
      </c>
      <c r="E91" s="958">
        <v>1.71</v>
      </c>
      <c r="F91" s="960">
        <v>8.36</v>
      </c>
      <c r="G91" s="961">
        <v>10.77</v>
      </c>
      <c r="H91" s="962"/>
      <c r="I91" s="963"/>
      <c r="J91" s="964"/>
      <c r="K91" s="964">
        <v>25</v>
      </c>
      <c r="L91" s="962">
        <v>0</v>
      </c>
      <c r="M91" s="965" t="s">
        <v>394</v>
      </c>
      <c r="N91" s="966"/>
      <c r="O91" s="967"/>
      <c r="P91" s="958"/>
      <c r="Q91" s="958"/>
      <c r="R91" s="94"/>
      <c r="S91" s="94"/>
      <c r="T91" s="94"/>
      <c r="U91" s="94"/>
      <c r="V91" s="94"/>
      <c r="W91" s="94"/>
      <c r="X91" s="94"/>
      <c r="Y91" s="94"/>
      <c r="Z91" s="94"/>
      <c r="AA91" s="24"/>
      <c r="AB91" s="24"/>
      <c r="AC91" s="24"/>
      <c r="AD91" s="24"/>
      <c r="AE91" s="24"/>
      <c r="AF91" s="24"/>
      <c r="AG91" s="24"/>
      <c r="AH91" s="24"/>
    </row>
    <row r="92" spans="1:34">
      <c r="A92" s="957"/>
      <c r="B92" s="958">
        <v>71</v>
      </c>
      <c r="C92" s="959" t="s">
        <v>282</v>
      </c>
      <c r="D92" s="958">
        <v>0</v>
      </c>
      <c r="E92" s="958">
        <v>10.64</v>
      </c>
      <c r="F92" s="960"/>
      <c r="G92" s="961"/>
      <c r="H92" s="962"/>
      <c r="I92" s="963"/>
      <c r="J92" s="964"/>
      <c r="K92" s="964">
        <v>25</v>
      </c>
      <c r="L92" s="962">
        <v>0</v>
      </c>
      <c r="M92" s="965" t="s">
        <v>281</v>
      </c>
      <c r="N92" s="966"/>
      <c r="O92" s="967"/>
      <c r="P92" s="958"/>
      <c r="Q92" s="958"/>
      <c r="R92" s="94"/>
      <c r="S92" s="94"/>
      <c r="T92" s="94"/>
      <c r="U92" s="94"/>
      <c r="V92" s="94"/>
      <c r="W92" s="94"/>
      <c r="X92" s="94"/>
      <c r="Y92" s="94"/>
      <c r="Z92" s="94"/>
      <c r="AA92" s="24"/>
      <c r="AB92" s="24"/>
      <c r="AC92" s="24"/>
      <c r="AD92" s="24"/>
      <c r="AE92" s="24"/>
      <c r="AF92" s="24"/>
      <c r="AG92" s="24"/>
      <c r="AH92" s="24"/>
    </row>
    <row r="93" spans="1:34">
      <c r="A93" s="957"/>
      <c r="B93" s="958">
        <v>72</v>
      </c>
      <c r="C93" s="959" t="s">
        <v>430</v>
      </c>
      <c r="D93" s="958">
        <v>-1</v>
      </c>
      <c r="E93" s="958">
        <v>1.85</v>
      </c>
      <c r="F93" s="960">
        <v>8.24</v>
      </c>
      <c r="G93" s="961">
        <v>10.44</v>
      </c>
      <c r="H93" s="962"/>
      <c r="I93" s="963"/>
      <c r="J93" s="964"/>
      <c r="K93" s="964">
        <v>25</v>
      </c>
      <c r="L93" s="962">
        <v>0</v>
      </c>
      <c r="M93" s="965" t="s">
        <v>429</v>
      </c>
      <c r="N93" s="966"/>
      <c r="O93" s="967"/>
      <c r="P93" s="958"/>
      <c r="Q93" s="958"/>
      <c r="R93" s="94"/>
      <c r="S93" s="94"/>
      <c r="T93" s="94"/>
      <c r="U93" s="94"/>
      <c r="V93" s="94"/>
      <c r="W93" s="94"/>
      <c r="X93" s="94"/>
      <c r="Y93" s="94"/>
      <c r="Z93" s="94"/>
      <c r="AA93" s="24"/>
      <c r="AB93" s="24"/>
      <c r="AC93" s="24"/>
      <c r="AD93" s="24"/>
      <c r="AE93" s="24"/>
      <c r="AF93" s="24"/>
      <c r="AG93" s="24"/>
      <c r="AH93" s="24"/>
    </row>
    <row r="94" spans="1:34">
      <c r="A94" s="957"/>
      <c r="B94" s="958">
        <v>73</v>
      </c>
      <c r="C94" s="959" t="s">
        <v>170</v>
      </c>
      <c r="D94" s="958">
        <v>-1</v>
      </c>
      <c r="E94" s="958">
        <v>1.3</v>
      </c>
      <c r="F94" s="960"/>
      <c r="G94" s="961"/>
      <c r="H94" s="962"/>
      <c r="I94" s="963"/>
      <c r="J94" s="964"/>
      <c r="K94" s="964">
        <v>25</v>
      </c>
      <c r="L94" s="962">
        <v>0</v>
      </c>
      <c r="M94" s="965" t="s">
        <v>171</v>
      </c>
      <c r="N94" s="966"/>
      <c r="O94" s="967"/>
      <c r="P94" s="958"/>
      <c r="Q94" s="958"/>
      <c r="R94" s="94"/>
      <c r="S94" s="94"/>
      <c r="T94" s="94"/>
      <c r="U94" s="94"/>
      <c r="V94" s="94"/>
      <c r="W94" s="94"/>
      <c r="X94" s="94"/>
      <c r="Y94" s="94"/>
      <c r="Z94" s="94"/>
      <c r="AA94" s="24"/>
      <c r="AB94" s="24"/>
      <c r="AC94" s="24"/>
      <c r="AD94" s="24"/>
      <c r="AE94" s="24"/>
      <c r="AF94" s="24"/>
      <c r="AG94" s="24"/>
      <c r="AH94" s="24"/>
    </row>
    <row r="95" spans="1:34">
      <c r="A95" s="957"/>
      <c r="B95" s="958">
        <v>74</v>
      </c>
      <c r="C95" s="959" t="s">
        <v>464</v>
      </c>
      <c r="D95" s="958">
        <v>-1</v>
      </c>
      <c r="E95" s="958">
        <v>7.46</v>
      </c>
      <c r="F95" s="960"/>
      <c r="G95" s="961"/>
      <c r="H95" s="962"/>
      <c r="I95" s="963"/>
      <c r="J95" s="964"/>
      <c r="K95" s="964">
        <v>25</v>
      </c>
      <c r="L95" s="962">
        <v>0</v>
      </c>
      <c r="M95" s="965" t="s">
        <v>463</v>
      </c>
      <c r="N95" s="966"/>
      <c r="O95" s="967"/>
      <c r="P95" s="958"/>
      <c r="Q95" s="958"/>
      <c r="R95" s="94"/>
      <c r="S95" s="94"/>
      <c r="T95" s="94"/>
      <c r="U95" s="94"/>
      <c r="V95" s="94"/>
      <c r="W95" s="94"/>
      <c r="X95" s="94"/>
      <c r="Y95" s="94"/>
      <c r="Z95" s="94"/>
      <c r="AA95" s="24"/>
      <c r="AB95" s="24"/>
      <c r="AC95" s="24"/>
      <c r="AD95" s="24"/>
      <c r="AE95" s="24"/>
      <c r="AF95" s="24"/>
      <c r="AG95" s="24"/>
      <c r="AH95" s="24"/>
    </row>
    <row r="96" spans="1:34">
      <c r="A96" s="957"/>
      <c r="B96" s="958">
        <v>75</v>
      </c>
      <c r="C96" s="959" t="s">
        <v>172</v>
      </c>
      <c r="D96" s="958">
        <v>0</v>
      </c>
      <c r="E96" s="958">
        <v>10.933</v>
      </c>
      <c r="F96" s="960"/>
      <c r="G96" s="961"/>
      <c r="H96" s="962"/>
      <c r="I96" s="963"/>
      <c r="J96" s="964"/>
      <c r="K96" s="964">
        <v>25</v>
      </c>
      <c r="L96" s="962">
        <v>0</v>
      </c>
      <c r="M96" s="965" t="s">
        <v>173</v>
      </c>
      <c r="N96" s="966"/>
      <c r="O96" s="967"/>
      <c r="P96" s="958"/>
      <c r="Q96" s="958"/>
      <c r="R96" s="94"/>
      <c r="S96" s="94"/>
      <c r="T96" s="94"/>
      <c r="U96" s="94"/>
      <c r="V96" s="94"/>
      <c r="W96" s="94"/>
      <c r="X96" s="94"/>
      <c r="Y96" s="94"/>
      <c r="Z96" s="94"/>
      <c r="AA96" s="24"/>
      <c r="AB96" s="24"/>
      <c r="AC96" s="24"/>
      <c r="AD96" s="24"/>
      <c r="AE96" s="24"/>
      <c r="AF96" s="24"/>
      <c r="AG96" s="24"/>
      <c r="AH96" s="24"/>
    </row>
    <row r="97" spans="1:34">
      <c r="A97" s="957"/>
      <c r="B97" s="958">
        <v>76</v>
      </c>
      <c r="C97" s="959" t="s">
        <v>59</v>
      </c>
      <c r="D97" s="958">
        <v>0</v>
      </c>
      <c r="E97" s="958">
        <v>11.05</v>
      </c>
      <c r="F97" s="960"/>
      <c r="G97" s="961"/>
      <c r="H97" s="962"/>
      <c r="I97" s="963"/>
      <c r="J97" s="964"/>
      <c r="K97" s="964">
        <v>25</v>
      </c>
      <c r="L97" s="962">
        <v>0</v>
      </c>
      <c r="M97" s="965" t="s">
        <v>58</v>
      </c>
      <c r="N97" s="966"/>
      <c r="O97" s="967"/>
      <c r="P97" s="958"/>
      <c r="Q97" s="958"/>
      <c r="R97" s="94"/>
      <c r="S97" s="94"/>
      <c r="T97" s="94"/>
      <c r="U97" s="94"/>
      <c r="V97" s="94"/>
      <c r="W97" s="94"/>
      <c r="X97" s="94"/>
      <c r="Y97" s="94"/>
      <c r="Z97" s="94"/>
      <c r="AA97" s="24"/>
      <c r="AB97" s="24"/>
      <c r="AC97" s="24"/>
      <c r="AD97" s="24"/>
      <c r="AE97" s="24"/>
      <c r="AF97" s="24"/>
      <c r="AG97" s="24"/>
      <c r="AH97" s="24"/>
    </row>
    <row r="98" spans="1:34">
      <c r="A98" s="957"/>
      <c r="B98" s="958">
        <v>77</v>
      </c>
      <c r="C98" s="959" t="s">
        <v>174</v>
      </c>
      <c r="D98" s="958">
        <v>0</v>
      </c>
      <c r="E98" s="958">
        <v>10.773999999999999</v>
      </c>
      <c r="F98" s="960"/>
      <c r="G98" s="961"/>
      <c r="H98" s="962"/>
      <c r="I98" s="963"/>
      <c r="J98" s="964"/>
      <c r="K98" s="964">
        <v>25</v>
      </c>
      <c r="L98" s="962">
        <v>0</v>
      </c>
      <c r="M98" s="965" t="s">
        <v>175</v>
      </c>
      <c r="N98" s="966"/>
      <c r="O98" s="967"/>
      <c r="P98" s="958"/>
      <c r="Q98" s="958"/>
      <c r="R98" s="94"/>
      <c r="S98" s="94"/>
      <c r="T98" s="94"/>
      <c r="U98" s="94"/>
      <c r="V98" s="94"/>
      <c r="W98" s="94"/>
      <c r="X98" s="94"/>
      <c r="Y98" s="94"/>
      <c r="Z98" s="94"/>
      <c r="AA98" s="24"/>
      <c r="AB98" s="24"/>
      <c r="AC98" s="24"/>
      <c r="AD98" s="24"/>
      <c r="AE98" s="24"/>
      <c r="AF98" s="24"/>
      <c r="AG98" s="24"/>
      <c r="AH98" s="24"/>
    </row>
    <row r="99" spans="1:34">
      <c r="A99" s="957"/>
      <c r="B99" s="958">
        <v>78</v>
      </c>
      <c r="C99" s="959" t="s">
        <v>695</v>
      </c>
      <c r="D99" s="958">
        <v>-2</v>
      </c>
      <c r="E99" s="958">
        <v>10.66</v>
      </c>
      <c r="F99" s="960">
        <v>12</v>
      </c>
      <c r="G99" s="961"/>
      <c r="H99" s="962"/>
      <c r="I99" s="963"/>
      <c r="J99" s="964"/>
      <c r="K99" s="964">
        <v>25</v>
      </c>
      <c r="L99" s="962">
        <v>0</v>
      </c>
      <c r="M99" s="965" t="s">
        <v>176</v>
      </c>
      <c r="N99" s="966"/>
      <c r="O99" s="967"/>
      <c r="P99" s="958"/>
      <c r="Q99" s="958"/>
      <c r="R99" s="94"/>
      <c r="S99" s="94"/>
      <c r="T99" s="94"/>
      <c r="U99" s="94"/>
      <c r="V99" s="94"/>
      <c r="W99" s="94"/>
      <c r="X99" s="94"/>
      <c r="Y99" s="94"/>
      <c r="Z99" s="94"/>
      <c r="AA99" s="24"/>
      <c r="AB99" s="24"/>
      <c r="AC99" s="24"/>
      <c r="AD99" s="24"/>
      <c r="AE99" s="24"/>
      <c r="AF99" s="24"/>
      <c r="AG99" s="24"/>
      <c r="AH99" s="24"/>
    </row>
    <row r="100" spans="1:34">
      <c r="A100" s="957"/>
      <c r="B100" s="958">
        <v>79</v>
      </c>
      <c r="C100" s="959" t="s">
        <v>556</v>
      </c>
      <c r="D100" s="958">
        <v>0</v>
      </c>
      <c r="E100" s="958">
        <v>6.58</v>
      </c>
      <c r="F100" s="960"/>
      <c r="G100" s="961"/>
      <c r="H100" s="962"/>
      <c r="I100" s="963"/>
      <c r="J100" s="964"/>
      <c r="K100" s="964">
        <v>25</v>
      </c>
      <c r="L100" s="962">
        <v>0</v>
      </c>
      <c r="M100" s="965" t="s">
        <v>84</v>
      </c>
      <c r="N100" s="966"/>
      <c r="O100" s="967"/>
      <c r="P100" s="958"/>
      <c r="Q100" s="958"/>
      <c r="R100" s="94"/>
      <c r="S100" s="94"/>
      <c r="T100" s="94"/>
      <c r="U100" s="94"/>
      <c r="V100" s="94"/>
      <c r="W100" s="94"/>
      <c r="X100" s="94"/>
      <c r="Y100" s="94"/>
      <c r="Z100" s="94"/>
      <c r="AA100" s="24"/>
      <c r="AB100" s="24"/>
      <c r="AC100" s="24"/>
      <c r="AD100" s="24"/>
      <c r="AE100" s="24"/>
      <c r="AF100" s="24"/>
      <c r="AG100" s="24"/>
      <c r="AH100" s="24"/>
    </row>
    <row r="101" spans="1:34">
      <c r="A101" s="957"/>
      <c r="B101" s="958">
        <v>80</v>
      </c>
      <c r="C101" s="959" t="s">
        <v>557</v>
      </c>
      <c r="D101" s="958">
        <v>0</v>
      </c>
      <c r="E101" s="958">
        <v>6.99</v>
      </c>
      <c r="F101" s="960"/>
      <c r="G101" s="961"/>
      <c r="H101" s="962"/>
      <c r="I101" s="963"/>
      <c r="J101" s="964"/>
      <c r="K101" s="964">
        <v>25</v>
      </c>
      <c r="L101" s="962">
        <v>0</v>
      </c>
      <c r="M101" s="965" t="s">
        <v>84</v>
      </c>
      <c r="N101" s="966"/>
      <c r="O101" s="967"/>
      <c r="P101" s="958"/>
      <c r="Q101" s="958"/>
      <c r="R101" s="94"/>
      <c r="S101" s="94"/>
      <c r="T101" s="94"/>
      <c r="U101" s="94"/>
      <c r="V101" s="94"/>
      <c r="W101" s="94"/>
      <c r="X101" s="94"/>
      <c r="Y101" s="94"/>
      <c r="Z101" s="94"/>
      <c r="AA101" s="24"/>
      <c r="AB101" s="24"/>
      <c r="AC101" s="24"/>
      <c r="AD101" s="24"/>
      <c r="AE101" s="24"/>
      <c r="AF101" s="24"/>
      <c r="AG101" s="24"/>
      <c r="AH101" s="24"/>
    </row>
    <row r="102" spans="1:34">
      <c r="A102" s="957"/>
      <c r="B102" s="958">
        <v>81</v>
      </c>
      <c r="C102" s="959" t="s">
        <v>558</v>
      </c>
      <c r="D102" s="958">
        <v>0</v>
      </c>
      <c r="E102" s="958">
        <v>6.4</v>
      </c>
      <c r="F102" s="960"/>
      <c r="G102" s="961"/>
      <c r="H102" s="962"/>
      <c r="I102" s="963"/>
      <c r="J102" s="964"/>
      <c r="K102" s="964">
        <v>25</v>
      </c>
      <c r="L102" s="962">
        <v>0</v>
      </c>
      <c r="M102" s="965" t="s">
        <v>84</v>
      </c>
      <c r="N102" s="966"/>
      <c r="O102" s="967"/>
      <c r="P102" s="958"/>
      <c r="Q102" s="958"/>
      <c r="R102" s="94"/>
      <c r="S102" s="94"/>
      <c r="T102" s="94"/>
      <c r="U102" s="94"/>
      <c r="V102" s="94"/>
      <c r="W102" s="94"/>
      <c r="X102" s="94"/>
      <c r="Y102" s="94"/>
      <c r="Z102" s="94"/>
      <c r="AA102" s="24"/>
      <c r="AB102" s="24"/>
      <c r="AC102" s="24"/>
      <c r="AD102" s="24"/>
      <c r="AE102" s="24"/>
      <c r="AF102" s="24"/>
      <c r="AG102" s="24"/>
      <c r="AH102" s="24"/>
    </row>
    <row r="103" spans="1:34">
      <c r="A103" s="957"/>
      <c r="B103" s="958">
        <v>82</v>
      </c>
      <c r="C103" s="959" t="s">
        <v>559</v>
      </c>
      <c r="D103" s="958">
        <v>0</v>
      </c>
      <c r="E103" s="958">
        <v>6.65</v>
      </c>
      <c r="F103" s="960"/>
      <c r="G103" s="961"/>
      <c r="H103" s="962"/>
      <c r="I103" s="963"/>
      <c r="J103" s="964"/>
      <c r="K103" s="964">
        <v>25</v>
      </c>
      <c r="L103" s="962">
        <v>0</v>
      </c>
      <c r="M103" s="965" t="s">
        <v>84</v>
      </c>
      <c r="N103" s="966"/>
      <c r="O103" s="967"/>
      <c r="P103" s="958"/>
      <c r="Q103" s="958"/>
      <c r="R103" s="94"/>
      <c r="S103" s="94"/>
      <c r="T103" s="94"/>
      <c r="U103" s="94"/>
      <c r="V103" s="94"/>
      <c r="W103" s="94"/>
      <c r="X103" s="94"/>
      <c r="Y103" s="94"/>
      <c r="Z103" s="94"/>
      <c r="AA103" s="24"/>
      <c r="AB103" s="24"/>
      <c r="AC103" s="24"/>
      <c r="AD103" s="24"/>
      <c r="AE103" s="24"/>
      <c r="AF103" s="24"/>
      <c r="AG103" s="24"/>
      <c r="AH103" s="24"/>
    </row>
    <row r="104" spans="1:34">
      <c r="A104" s="957"/>
      <c r="B104" s="958">
        <v>83</v>
      </c>
      <c r="C104" s="959" t="s">
        <v>560</v>
      </c>
      <c r="D104" s="958">
        <v>0</v>
      </c>
      <c r="E104" s="958">
        <v>6.46</v>
      </c>
      <c r="F104" s="960"/>
      <c r="G104" s="961"/>
      <c r="H104" s="962"/>
      <c r="I104" s="963"/>
      <c r="J104" s="964"/>
      <c r="K104" s="964">
        <v>25</v>
      </c>
      <c r="L104" s="962">
        <v>0</v>
      </c>
      <c r="M104" s="965" t="s">
        <v>84</v>
      </c>
      <c r="N104" s="966"/>
      <c r="O104" s="967"/>
      <c r="P104" s="958"/>
      <c r="Q104" s="958"/>
      <c r="R104" s="94"/>
      <c r="S104" s="94"/>
      <c r="T104" s="94"/>
      <c r="U104" s="94"/>
      <c r="V104" s="94"/>
      <c r="W104" s="94"/>
      <c r="X104" s="94"/>
      <c r="Y104" s="94"/>
      <c r="Z104" s="94"/>
      <c r="AA104" s="24"/>
      <c r="AB104" s="24"/>
      <c r="AC104" s="24"/>
      <c r="AD104" s="24"/>
      <c r="AE104" s="24"/>
      <c r="AF104" s="24"/>
      <c r="AG104" s="24"/>
      <c r="AH104" s="24"/>
    </row>
    <row r="105" spans="1:34">
      <c r="A105" s="957"/>
      <c r="B105" s="958">
        <v>84</v>
      </c>
      <c r="C105" s="959" t="s">
        <v>561</v>
      </c>
      <c r="D105" s="958">
        <v>0</v>
      </c>
      <c r="E105" s="958">
        <v>6.15</v>
      </c>
      <c r="F105" s="960"/>
      <c r="G105" s="961"/>
      <c r="H105" s="962"/>
      <c r="I105" s="963"/>
      <c r="J105" s="964"/>
      <c r="K105" s="964">
        <v>25</v>
      </c>
      <c r="L105" s="962">
        <v>0</v>
      </c>
      <c r="M105" s="965" t="s">
        <v>84</v>
      </c>
      <c r="N105" s="966"/>
      <c r="O105" s="967"/>
      <c r="P105" s="958"/>
      <c r="Q105" s="958"/>
      <c r="R105" s="94"/>
      <c r="S105" s="94"/>
      <c r="T105" s="94"/>
      <c r="U105" s="94"/>
      <c r="V105" s="94"/>
      <c r="W105" s="94"/>
      <c r="X105" s="94"/>
      <c r="Y105" s="94"/>
      <c r="Z105" s="94"/>
      <c r="AA105" s="24"/>
      <c r="AB105" s="24"/>
      <c r="AC105" s="24"/>
      <c r="AD105" s="24"/>
      <c r="AE105" s="24"/>
      <c r="AF105" s="24"/>
      <c r="AG105" s="24"/>
      <c r="AH105" s="24"/>
    </row>
    <row r="106" spans="1:34">
      <c r="A106" s="957"/>
      <c r="B106" s="958">
        <v>85</v>
      </c>
      <c r="C106" s="959" t="s">
        <v>70</v>
      </c>
      <c r="D106" s="958">
        <v>-1</v>
      </c>
      <c r="E106" s="958">
        <v>2.8</v>
      </c>
      <c r="F106" s="960"/>
      <c r="G106" s="961"/>
      <c r="H106" s="962"/>
      <c r="I106" s="963"/>
      <c r="J106" s="964"/>
      <c r="K106" s="964">
        <v>25</v>
      </c>
      <c r="L106" s="962">
        <v>0</v>
      </c>
      <c r="M106" s="965" t="s">
        <v>69</v>
      </c>
      <c r="N106" s="966"/>
      <c r="O106" s="967"/>
      <c r="P106" s="958"/>
      <c r="Q106" s="958"/>
      <c r="R106" s="94"/>
      <c r="S106" s="94"/>
      <c r="T106" s="94"/>
      <c r="U106" s="94"/>
      <c r="V106" s="94"/>
      <c r="W106" s="94"/>
      <c r="X106" s="94"/>
      <c r="Y106" s="94"/>
      <c r="Z106" s="94"/>
      <c r="AA106" s="24"/>
      <c r="AB106" s="24"/>
      <c r="AC106" s="24"/>
      <c r="AD106" s="24"/>
      <c r="AE106" s="24"/>
      <c r="AF106" s="24"/>
      <c r="AG106" s="24"/>
      <c r="AH106" s="24"/>
    </row>
    <row r="107" spans="1:34">
      <c r="A107" s="957"/>
      <c r="B107" s="958">
        <v>86</v>
      </c>
      <c r="C107" s="959" t="s">
        <v>292</v>
      </c>
      <c r="D107" s="958">
        <v>0</v>
      </c>
      <c r="E107" s="958">
        <v>0.79</v>
      </c>
      <c r="F107" s="960"/>
      <c r="G107" s="961"/>
      <c r="H107" s="962"/>
      <c r="I107" s="963"/>
      <c r="J107" s="964"/>
      <c r="K107" s="964">
        <v>25</v>
      </c>
      <c r="L107" s="962">
        <v>0</v>
      </c>
      <c r="M107" s="965" t="s">
        <v>290</v>
      </c>
      <c r="N107" s="966"/>
      <c r="O107" s="967"/>
      <c r="P107" s="958"/>
      <c r="Q107" s="958"/>
      <c r="R107" s="94"/>
      <c r="S107" s="94"/>
      <c r="T107" s="94"/>
      <c r="U107" s="94"/>
      <c r="V107" s="94"/>
      <c r="W107" s="94"/>
      <c r="X107" s="94"/>
      <c r="Y107" s="94"/>
      <c r="Z107" s="94"/>
      <c r="AA107" s="24"/>
      <c r="AB107" s="24"/>
      <c r="AC107" s="24"/>
      <c r="AD107" s="24"/>
      <c r="AE107" s="24"/>
      <c r="AF107" s="24"/>
      <c r="AG107" s="24"/>
      <c r="AH107" s="24"/>
    </row>
    <row r="108" spans="1:34">
      <c r="A108" s="957"/>
      <c r="B108" s="958">
        <v>87</v>
      </c>
      <c r="C108" s="959" t="s">
        <v>71</v>
      </c>
      <c r="D108" s="958">
        <v>-2</v>
      </c>
      <c r="E108" s="958">
        <v>2.16</v>
      </c>
      <c r="F108" s="960">
        <v>4.76</v>
      </c>
      <c r="G108" s="961"/>
      <c r="H108" s="962"/>
      <c r="I108" s="963"/>
      <c r="J108" s="964"/>
      <c r="K108" s="964">
        <v>25</v>
      </c>
      <c r="L108" s="962">
        <v>0</v>
      </c>
      <c r="M108" s="965" t="s">
        <v>69</v>
      </c>
      <c r="N108" s="966"/>
      <c r="O108" s="967"/>
      <c r="P108" s="958"/>
      <c r="Q108" s="958"/>
      <c r="R108" s="94"/>
      <c r="S108" s="94"/>
      <c r="T108" s="94"/>
      <c r="U108" s="94"/>
      <c r="V108" s="94"/>
      <c r="W108" s="94"/>
      <c r="X108" s="94"/>
      <c r="Y108" s="94"/>
      <c r="Z108" s="94"/>
      <c r="AA108" s="24"/>
      <c r="AB108" s="24"/>
      <c r="AC108" s="24"/>
      <c r="AD108" s="24"/>
      <c r="AE108" s="24"/>
      <c r="AF108" s="24"/>
      <c r="AG108" s="24"/>
      <c r="AH108" s="24"/>
    </row>
    <row r="109" spans="1:34">
      <c r="A109" s="957"/>
      <c r="B109" s="958">
        <v>88</v>
      </c>
      <c r="C109" s="959" t="s">
        <v>114</v>
      </c>
      <c r="D109" s="958">
        <v>-1</v>
      </c>
      <c r="E109" s="958">
        <v>8.9</v>
      </c>
      <c r="F109" s="960">
        <v>10.6</v>
      </c>
      <c r="G109" s="961"/>
      <c r="H109" s="962"/>
      <c r="I109" s="963"/>
      <c r="J109" s="964"/>
      <c r="K109" s="964">
        <v>25</v>
      </c>
      <c r="L109" s="962">
        <v>0</v>
      </c>
      <c r="M109" s="965" t="s">
        <v>113</v>
      </c>
      <c r="N109" s="966">
        <v>153.18</v>
      </c>
      <c r="O109" s="967"/>
      <c r="P109" s="958"/>
      <c r="Q109" s="958"/>
      <c r="R109" s="94"/>
      <c r="S109" s="94"/>
      <c r="T109" s="94"/>
      <c r="U109" s="94"/>
      <c r="V109" s="94"/>
      <c r="W109" s="94"/>
      <c r="X109" s="94"/>
      <c r="Y109" s="94"/>
      <c r="Z109" s="94"/>
      <c r="AA109" s="24"/>
      <c r="AB109" s="24"/>
      <c r="AC109" s="24"/>
      <c r="AD109" s="24"/>
      <c r="AE109" s="24"/>
      <c r="AF109" s="24"/>
      <c r="AG109" s="24"/>
      <c r="AH109" s="24"/>
    </row>
    <row r="110" spans="1:34">
      <c r="A110" s="957"/>
      <c r="B110" s="958">
        <v>89</v>
      </c>
      <c r="C110" s="959" t="s">
        <v>278</v>
      </c>
      <c r="D110" s="958">
        <v>0</v>
      </c>
      <c r="E110" s="958">
        <v>10.138999999999999</v>
      </c>
      <c r="F110" s="960"/>
      <c r="G110" s="961"/>
      <c r="H110" s="962"/>
      <c r="I110" s="963"/>
      <c r="J110" s="964"/>
      <c r="K110" s="964">
        <v>10</v>
      </c>
      <c r="L110" s="962">
        <v>0</v>
      </c>
      <c r="M110" s="965" t="s">
        <v>277</v>
      </c>
      <c r="N110" s="966">
        <v>165.23</v>
      </c>
      <c r="O110" s="967"/>
      <c r="P110" s="958"/>
      <c r="Q110" s="958"/>
      <c r="R110" s="94"/>
      <c r="S110" s="94"/>
      <c r="T110" s="94"/>
      <c r="U110" s="94"/>
      <c r="V110" s="94"/>
      <c r="W110" s="94"/>
      <c r="X110" s="94"/>
      <c r="Y110" s="94"/>
      <c r="Z110" s="94"/>
      <c r="AA110" s="24"/>
      <c r="AB110" s="24"/>
      <c r="AC110" s="24"/>
      <c r="AD110" s="24"/>
      <c r="AE110" s="24"/>
      <c r="AF110" s="24"/>
      <c r="AG110" s="24"/>
      <c r="AH110" s="24"/>
    </row>
    <row r="111" spans="1:34">
      <c r="A111" s="957"/>
      <c r="B111" s="958">
        <v>90</v>
      </c>
      <c r="C111" s="959" t="s">
        <v>380</v>
      </c>
      <c r="D111" s="958">
        <v>0</v>
      </c>
      <c r="E111" s="958">
        <v>9.5</v>
      </c>
      <c r="F111" s="960"/>
      <c r="G111" s="961"/>
      <c r="H111" s="962"/>
      <c r="I111" s="963"/>
      <c r="J111" s="964"/>
      <c r="K111" s="964">
        <v>25</v>
      </c>
      <c r="L111" s="962">
        <v>0</v>
      </c>
      <c r="M111" s="965" t="s">
        <v>379</v>
      </c>
      <c r="N111" s="966"/>
      <c r="O111" s="967"/>
      <c r="P111" s="958"/>
      <c r="Q111" s="958"/>
      <c r="R111" s="94"/>
      <c r="S111" s="94"/>
      <c r="T111" s="94"/>
      <c r="U111" s="94"/>
      <c r="V111" s="94"/>
      <c r="W111" s="94"/>
      <c r="X111" s="94"/>
      <c r="Y111" s="94"/>
      <c r="Z111" s="94"/>
      <c r="AA111" s="24"/>
      <c r="AB111" s="24"/>
      <c r="AC111" s="24"/>
      <c r="AD111" s="24"/>
      <c r="AE111" s="24"/>
      <c r="AF111" s="24"/>
      <c r="AG111" s="24"/>
      <c r="AH111" s="24"/>
    </row>
    <row r="112" spans="1:34">
      <c r="A112" s="957"/>
      <c r="B112" s="958">
        <v>91</v>
      </c>
      <c r="C112" s="959" t="s">
        <v>177</v>
      </c>
      <c r="D112" s="958">
        <v>0</v>
      </c>
      <c r="E112" s="958">
        <v>10.635999999999999</v>
      </c>
      <c r="F112" s="960"/>
      <c r="G112" s="961"/>
      <c r="H112" s="962"/>
      <c r="I112" s="963"/>
      <c r="J112" s="964"/>
      <c r="K112" s="964">
        <v>25</v>
      </c>
      <c r="L112" s="962">
        <v>0</v>
      </c>
      <c r="M112" s="965" t="s">
        <v>178</v>
      </c>
      <c r="N112" s="966"/>
      <c r="O112" s="967"/>
      <c r="P112" s="958"/>
      <c r="Q112" s="958"/>
      <c r="R112" s="94"/>
      <c r="S112" s="94"/>
      <c r="T112" s="94"/>
      <c r="U112" s="94"/>
      <c r="V112" s="94"/>
      <c r="W112" s="94"/>
      <c r="X112" s="94"/>
      <c r="Y112" s="94"/>
      <c r="Z112" s="94"/>
      <c r="AA112" s="24"/>
      <c r="AB112" s="24"/>
      <c r="AC112" s="24"/>
      <c r="AD112" s="24"/>
      <c r="AE112" s="24"/>
      <c r="AF112" s="24"/>
      <c r="AG112" s="24"/>
      <c r="AH112" s="24"/>
    </row>
    <row r="113" spans="1:34">
      <c r="A113" s="957"/>
      <c r="B113" s="958">
        <v>92</v>
      </c>
      <c r="C113" s="959" t="s">
        <v>179</v>
      </c>
      <c r="D113" s="958">
        <v>0</v>
      </c>
      <c r="E113" s="958">
        <v>6.8479999999999999</v>
      </c>
      <c r="F113" s="960">
        <v>9.9280000000000008</v>
      </c>
      <c r="G113" s="961"/>
      <c r="H113" s="962"/>
      <c r="I113" s="963"/>
      <c r="J113" s="964"/>
      <c r="K113" s="964">
        <v>25</v>
      </c>
      <c r="L113" s="962">
        <v>0</v>
      </c>
      <c r="M113" s="965" t="s">
        <v>180</v>
      </c>
      <c r="N113" s="966"/>
      <c r="O113" s="967"/>
      <c r="P113" s="958"/>
      <c r="Q113" s="958"/>
      <c r="R113" s="94"/>
      <c r="S113" s="94"/>
      <c r="T113" s="94"/>
      <c r="U113" s="94"/>
      <c r="V113" s="94"/>
      <c r="W113" s="94"/>
      <c r="X113" s="94"/>
      <c r="Y113" s="94"/>
      <c r="Z113" s="94"/>
      <c r="AA113" s="24"/>
      <c r="AB113" s="24"/>
      <c r="AC113" s="24"/>
      <c r="AD113" s="24"/>
      <c r="AE113" s="24"/>
      <c r="AF113" s="24"/>
      <c r="AG113" s="24"/>
      <c r="AH113" s="24"/>
    </row>
    <row r="114" spans="1:34">
      <c r="A114" s="957"/>
      <c r="B114" s="958">
        <v>93</v>
      </c>
      <c r="C114" s="959" t="s">
        <v>181</v>
      </c>
      <c r="D114" s="958">
        <v>-4</v>
      </c>
      <c r="E114" s="1121">
        <v>-0.21</v>
      </c>
      <c r="F114" s="1118">
        <v>1.5</v>
      </c>
      <c r="G114" s="1119">
        <v>2.21</v>
      </c>
      <c r="H114" s="970">
        <v>3.11</v>
      </c>
      <c r="I114" s="1120">
        <v>6.75</v>
      </c>
      <c r="J114" s="1120">
        <v>11.03</v>
      </c>
      <c r="K114" s="1120">
        <v>25</v>
      </c>
      <c r="L114" s="949">
        <v>0</v>
      </c>
      <c r="M114" s="965" t="s">
        <v>144</v>
      </c>
      <c r="N114" s="966"/>
      <c r="O114" s="967"/>
      <c r="P114" s="958"/>
      <c r="Q114" s="958"/>
      <c r="R114" s="94"/>
      <c r="S114" s="94"/>
      <c r="T114" s="94"/>
      <c r="U114" s="94"/>
      <c r="V114" s="94"/>
      <c r="W114" s="94"/>
      <c r="X114" s="94"/>
      <c r="Y114" s="94"/>
      <c r="Z114" s="94"/>
      <c r="AA114" s="24"/>
      <c r="AB114" s="24"/>
      <c r="AC114" s="24"/>
      <c r="AD114" s="24"/>
      <c r="AE114" s="24"/>
      <c r="AF114" s="24"/>
      <c r="AG114" s="24"/>
      <c r="AH114" s="24"/>
    </row>
    <row r="115" spans="1:34">
      <c r="A115" s="957"/>
      <c r="B115" s="958">
        <v>94</v>
      </c>
      <c r="C115" s="959" t="s">
        <v>376</v>
      </c>
      <c r="D115" s="958">
        <v>0</v>
      </c>
      <c r="E115" s="958">
        <v>8.01</v>
      </c>
      <c r="F115" s="960"/>
      <c r="G115" s="961"/>
      <c r="H115" s="962"/>
      <c r="I115" s="963"/>
      <c r="J115" s="964"/>
      <c r="K115" s="964">
        <v>25</v>
      </c>
      <c r="L115" s="962">
        <v>0</v>
      </c>
      <c r="M115" s="965" t="s">
        <v>375</v>
      </c>
      <c r="N115" s="966"/>
      <c r="O115" s="967"/>
      <c r="P115" s="958"/>
      <c r="Q115" s="958"/>
      <c r="R115" s="94"/>
      <c r="S115" s="94"/>
      <c r="T115" s="94"/>
      <c r="U115" s="94"/>
      <c r="V115" s="94"/>
      <c r="W115" s="94"/>
      <c r="X115" s="94"/>
      <c r="Y115" s="94"/>
      <c r="Z115" s="94"/>
      <c r="AA115" s="24"/>
      <c r="AB115" s="24"/>
      <c r="AC115" s="24"/>
      <c r="AD115" s="24"/>
      <c r="AE115" s="24"/>
      <c r="AF115" s="24"/>
      <c r="AG115" s="24"/>
      <c r="AH115" s="24"/>
    </row>
    <row r="116" spans="1:34">
      <c r="A116" s="957"/>
      <c r="B116" s="958">
        <v>95</v>
      </c>
      <c r="C116" s="959" t="s">
        <v>86</v>
      </c>
      <c r="D116" s="958">
        <v>0</v>
      </c>
      <c r="E116" s="958">
        <v>5.89</v>
      </c>
      <c r="F116" s="960"/>
      <c r="G116" s="961"/>
      <c r="H116" s="962"/>
      <c r="I116" s="963"/>
      <c r="J116" s="964"/>
      <c r="K116" s="964">
        <v>25</v>
      </c>
      <c r="L116" s="962">
        <v>0</v>
      </c>
      <c r="M116" s="965" t="s">
        <v>84</v>
      </c>
      <c r="N116" s="966"/>
      <c r="O116" s="967"/>
      <c r="P116" s="958"/>
      <c r="Q116" s="958"/>
      <c r="R116" s="94"/>
      <c r="S116" s="94"/>
      <c r="T116" s="94"/>
      <c r="U116" s="94"/>
      <c r="V116" s="94"/>
      <c r="W116" s="94"/>
      <c r="X116" s="94"/>
      <c r="Y116" s="94"/>
      <c r="Z116" s="94"/>
      <c r="AA116" s="24"/>
      <c r="AB116" s="24"/>
      <c r="AC116" s="24"/>
      <c r="AD116" s="24"/>
      <c r="AE116" s="24"/>
      <c r="AF116" s="24"/>
      <c r="AG116" s="24"/>
      <c r="AH116" s="24"/>
    </row>
    <row r="117" spans="1:34">
      <c r="A117" s="957"/>
      <c r="B117" s="958">
        <v>96</v>
      </c>
      <c r="C117" s="959" t="s">
        <v>367</v>
      </c>
      <c r="D117" s="958">
        <v>-1</v>
      </c>
      <c r="E117" s="958">
        <v>3.7450000000000001</v>
      </c>
      <c r="F117" s="960"/>
      <c r="G117" s="961"/>
      <c r="H117" s="962"/>
      <c r="I117" s="963"/>
      <c r="J117" s="964"/>
      <c r="K117" s="964">
        <v>20</v>
      </c>
      <c r="L117" s="962">
        <v>0</v>
      </c>
      <c r="M117" s="965" t="s">
        <v>182</v>
      </c>
      <c r="N117" s="966"/>
      <c r="O117" s="967"/>
      <c r="P117" s="958"/>
      <c r="Q117" s="958"/>
      <c r="R117" s="94"/>
      <c r="S117" s="94"/>
      <c r="T117" s="94"/>
      <c r="U117" s="94"/>
      <c r="V117" s="94"/>
      <c r="W117" s="94"/>
      <c r="X117" s="94"/>
      <c r="Y117" s="94"/>
      <c r="Z117" s="94"/>
      <c r="AA117" s="24"/>
      <c r="AB117" s="24"/>
      <c r="AC117" s="24"/>
      <c r="AD117" s="24"/>
      <c r="AE117" s="24"/>
      <c r="AF117" s="24"/>
      <c r="AG117" s="24"/>
      <c r="AH117" s="24"/>
    </row>
    <row r="118" spans="1:34">
      <c r="A118" s="957"/>
      <c r="B118" s="958">
        <v>97</v>
      </c>
      <c r="C118" s="959" t="s">
        <v>183</v>
      </c>
      <c r="D118" s="958">
        <v>-2</v>
      </c>
      <c r="E118" s="958">
        <v>3.0529999999999999</v>
      </c>
      <c r="F118" s="960">
        <v>4.4939999999999998</v>
      </c>
      <c r="G118" s="961"/>
      <c r="H118" s="962"/>
      <c r="I118" s="963"/>
      <c r="J118" s="964"/>
      <c r="K118" s="964">
        <v>25</v>
      </c>
      <c r="L118" s="962">
        <v>0</v>
      </c>
      <c r="M118" s="965" t="s">
        <v>401</v>
      </c>
      <c r="N118" s="966">
        <v>116.07</v>
      </c>
      <c r="O118" s="967"/>
      <c r="P118" s="958"/>
      <c r="Q118" s="958"/>
      <c r="R118" s="94"/>
      <c r="S118" s="94"/>
      <c r="T118" s="94"/>
      <c r="U118" s="94"/>
      <c r="V118" s="94"/>
      <c r="W118" s="94"/>
      <c r="X118" s="94"/>
      <c r="Y118" s="94"/>
      <c r="Z118" s="94"/>
      <c r="AA118" s="24"/>
      <c r="AB118" s="24"/>
      <c r="AC118" s="24"/>
      <c r="AD118" s="24"/>
      <c r="AE118" s="24"/>
      <c r="AF118" s="24"/>
      <c r="AG118" s="24"/>
      <c r="AH118" s="24"/>
    </row>
    <row r="119" spans="1:34">
      <c r="A119" s="957"/>
      <c r="B119" s="958">
        <v>98</v>
      </c>
      <c r="C119" s="959" t="s">
        <v>442</v>
      </c>
      <c r="D119" s="958">
        <v>-2</v>
      </c>
      <c r="E119" s="958">
        <v>2.23</v>
      </c>
      <c r="F119" s="960">
        <v>4.42</v>
      </c>
      <c r="G119" s="961">
        <v>9.9499999999999993</v>
      </c>
      <c r="H119" s="962"/>
      <c r="I119" s="963"/>
      <c r="J119" s="964"/>
      <c r="K119" s="964">
        <v>25</v>
      </c>
      <c r="L119" s="962">
        <v>0</v>
      </c>
      <c r="M119" s="965" t="s">
        <v>441</v>
      </c>
      <c r="N119" s="966">
        <v>147.13</v>
      </c>
      <c r="O119" s="967"/>
      <c r="P119" s="958"/>
      <c r="Q119" s="958"/>
      <c r="R119" s="94"/>
      <c r="S119" s="94"/>
      <c r="T119" s="94"/>
      <c r="U119" s="94"/>
      <c r="V119" s="94"/>
      <c r="W119" s="94"/>
      <c r="X119" s="94"/>
      <c r="Y119" s="94"/>
      <c r="Z119" s="94"/>
      <c r="AA119" s="24"/>
      <c r="AB119" s="24"/>
      <c r="AC119" s="24"/>
      <c r="AD119" s="24"/>
      <c r="AE119" s="24"/>
      <c r="AF119" s="24"/>
      <c r="AG119" s="24"/>
      <c r="AH119" s="24"/>
    </row>
    <row r="120" spans="1:34">
      <c r="A120" s="957"/>
      <c r="B120" s="958">
        <v>99</v>
      </c>
      <c r="C120" s="959" t="s">
        <v>446</v>
      </c>
      <c r="D120" s="958">
        <v>-1</v>
      </c>
      <c r="E120" s="958">
        <v>2.17</v>
      </c>
      <c r="F120" s="960">
        <v>9.1300000000000008</v>
      </c>
      <c r="G120" s="961"/>
      <c r="H120" s="962"/>
      <c r="I120" s="963"/>
      <c r="J120" s="964"/>
      <c r="K120" s="964">
        <v>25</v>
      </c>
      <c r="L120" s="962">
        <v>0</v>
      </c>
      <c r="M120" s="965" t="s">
        <v>445</v>
      </c>
      <c r="N120" s="966">
        <v>146.15</v>
      </c>
      <c r="O120" s="967"/>
      <c r="P120" s="958"/>
      <c r="Q120" s="958"/>
      <c r="R120" s="94"/>
      <c r="S120" s="94"/>
      <c r="T120" s="94"/>
      <c r="U120" s="94"/>
      <c r="V120" s="94"/>
      <c r="W120" s="94"/>
      <c r="X120" s="94"/>
      <c r="Y120" s="94"/>
      <c r="Z120" s="94"/>
      <c r="AA120" s="24"/>
      <c r="AB120" s="24"/>
      <c r="AC120" s="24"/>
      <c r="AD120" s="24"/>
      <c r="AE120" s="24"/>
      <c r="AF120" s="24"/>
      <c r="AG120" s="24"/>
      <c r="AH120" s="24"/>
    </row>
    <row r="121" spans="1:34">
      <c r="A121" s="957"/>
      <c r="B121" s="958">
        <v>100</v>
      </c>
      <c r="C121" s="959" t="s">
        <v>184</v>
      </c>
      <c r="D121" s="958">
        <v>-2</v>
      </c>
      <c r="E121" s="958">
        <v>2.12</v>
      </c>
      <c r="F121" s="960">
        <v>3.59</v>
      </c>
      <c r="G121" s="961">
        <v>8.75</v>
      </c>
      <c r="H121" s="962">
        <v>9.65</v>
      </c>
      <c r="I121" s="963"/>
      <c r="J121" s="964"/>
      <c r="K121" s="964">
        <v>25</v>
      </c>
      <c r="L121" s="962">
        <v>0</v>
      </c>
      <c r="M121" s="965" t="s">
        <v>280</v>
      </c>
      <c r="N121" s="966"/>
      <c r="O121" s="967"/>
      <c r="P121" s="958"/>
      <c r="Q121" s="958"/>
      <c r="R121" s="94"/>
      <c r="S121" s="94"/>
      <c r="T121" s="94"/>
      <c r="U121" s="94"/>
      <c r="V121" s="94"/>
      <c r="W121" s="94"/>
      <c r="X121" s="94"/>
      <c r="Y121" s="94"/>
      <c r="Z121" s="94"/>
      <c r="AA121" s="24"/>
      <c r="AB121" s="24"/>
      <c r="AC121" s="24"/>
      <c r="AD121" s="24"/>
      <c r="AE121" s="24"/>
      <c r="AF121" s="24"/>
      <c r="AG121" s="24"/>
      <c r="AH121" s="24"/>
    </row>
    <row r="122" spans="1:34">
      <c r="A122" s="957"/>
      <c r="B122" s="958">
        <v>101</v>
      </c>
      <c r="C122" s="959" t="s">
        <v>392</v>
      </c>
      <c r="D122" s="958">
        <v>-1</v>
      </c>
      <c r="E122" s="958">
        <v>3.52</v>
      </c>
      <c r="F122" s="960"/>
      <c r="G122" s="961"/>
      <c r="H122" s="962"/>
      <c r="I122" s="963"/>
      <c r="J122" s="964"/>
      <c r="K122" s="964">
        <v>25</v>
      </c>
      <c r="L122" s="962">
        <v>0</v>
      </c>
      <c r="M122" s="965" t="s">
        <v>391</v>
      </c>
      <c r="N122" s="966"/>
      <c r="O122" s="967"/>
      <c r="P122" s="958"/>
      <c r="Q122" s="958"/>
      <c r="R122" s="94"/>
      <c r="S122" s="94"/>
      <c r="T122" s="94"/>
      <c r="U122" s="94"/>
      <c r="V122" s="94"/>
      <c r="W122" s="94"/>
      <c r="X122" s="94"/>
      <c r="Y122" s="94"/>
      <c r="Z122" s="94"/>
      <c r="AA122" s="24"/>
      <c r="AB122" s="24"/>
      <c r="AC122" s="24"/>
      <c r="AD122" s="24"/>
      <c r="AE122" s="24"/>
      <c r="AF122" s="24"/>
      <c r="AG122" s="24"/>
      <c r="AH122" s="24"/>
    </row>
    <row r="123" spans="1:34">
      <c r="A123" s="957"/>
      <c r="B123" s="958">
        <v>102</v>
      </c>
      <c r="C123" s="959" t="s">
        <v>398</v>
      </c>
      <c r="D123" s="958">
        <v>-1</v>
      </c>
      <c r="E123" s="958">
        <v>14.15</v>
      </c>
      <c r="F123" s="960"/>
      <c r="G123" s="961"/>
      <c r="H123" s="962"/>
      <c r="I123" s="963"/>
      <c r="J123" s="964"/>
      <c r="K123" s="964">
        <v>25</v>
      </c>
      <c r="L123" s="962">
        <v>0</v>
      </c>
      <c r="M123" s="965" t="s">
        <v>397</v>
      </c>
      <c r="N123" s="966"/>
      <c r="O123" s="967"/>
      <c r="P123" s="958"/>
      <c r="Q123" s="958"/>
      <c r="R123" s="94"/>
      <c r="S123" s="94"/>
      <c r="T123" s="94"/>
      <c r="U123" s="94"/>
      <c r="V123" s="94"/>
      <c r="W123" s="94"/>
      <c r="X123" s="94"/>
      <c r="Y123" s="94"/>
      <c r="Z123" s="94"/>
      <c r="AA123" s="24"/>
      <c r="AB123" s="24"/>
      <c r="AC123" s="24"/>
      <c r="AD123" s="24"/>
      <c r="AE123" s="24"/>
      <c r="AF123" s="24"/>
      <c r="AG123" s="24"/>
      <c r="AH123" s="24"/>
    </row>
    <row r="124" spans="1:34">
      <c r="A124" s="957"/>
      <c r="B124" s="958">
        <v>103</v>
      </c>
      <c r="C124" s="959" t="s">
        <v>185</v>
      </c>
      <c r="D124" s="958">
        <v>-1</v>
      </c>
      <c r="E124" s="958">
        <v>2.35</v>
      </c>
      <c r="F124" s="960">
        <v>9.7780000000000005</v>
      </c>
      <c r="G124" s="961"/>
      <c r="H124" s="962"/>
      <c r="I124" s="963"/>
      <c r="J124" s="964"/>
      <c r="K124" s="964">
        <v>25</v>
      </c>
      <c r="L124" s="962">
        <v>0</v>
      </c>
      <c r="M124" s="965" t="s">
        <v>186</v>
      </c>
      <c r="N124" s="966">
        <v>75.069999999999993</v>
      </c>
      <c r="O124" s="967"/>
      <c r="P124" s="958"/>
      <c r="Q124" s="958"/>
      <c r="R124" s="94"/>
      <c r="S124" s="94"/>
      <c r="T124" s="94"/>
      <c r="U124" s="94"/>
      <c r="V124" s="94"/>
      <c r="W124" s="94"/>
      <c r="X124" s="94"/>
      <c r="Y124" s="94"/>
      <c r="Z124" s="94"/>
      <c r="AA124" s="24"/>
      <c r="AB124" s="24"/>
      <c r="AC124" s="24"/>
      <c r="AD124" s="24"/>
      <c r="AE124" s="24"/>
      <c r="AF124" s="24"/>
      <c r="AG124" s="24"/>
      <c r="AH124" s="24"/>
    </row>
    <row r="125" spans="1:34">
      <c r="A125" s="957"/>
      <c r="B125" s="958">
        <v>104</v>
      </c>
      <c r="C125" s="959" t="s">
        <v>187</v>
      </c>
      <c r="D125" s="958">
        <v>-1</v>
      </c>
      <c r="E125" s="958">
        <v>3.831</v>
      </c>
      <c r="F125" s="960"/>
      <c r="G125" s="961"/>
      <c r="H125" s="962"/>
      <c r="I125" s="963"/>
      <c r="J125" s="964"/>
      <c r="K125" s="964">
        <v>25</v>
      </c>
      <c r="L125" s="962">
        <v>0</v>
      </c>
      <c r="M125" s="965" t="s">
        <v>188</v>
      </c>
      <c r="N125" s="966"/>
      <c r="O125" s="967"/>
      <c r="P125" s="958"/>
      <c r="Q125" s="958"/>
      <c r="R125" s="94"/>
      <c r="S125" s="94"/>
      <c r="T125" s="94"/>
      <c r="U125" s="94"/>
      <c r="V125" s="94"/>
      <c r="W125" s="94"/>
      <c r="X125" s="94"/>
      <c r="Y125" s="94"/>
      <c r="Z125" s="94"/>
      <c r="AA125" s="24"/>
      <c r="AB125" s="24"/>
      <c r="AC125" s="24"/>
      <c r="AD125" s="24"/>
      <c r="AE125" s="24"/>
      <c r="AF125" s="24"/>
      <c r="AG125" s="24"/>
      <c r="AH125" s="24"/>
    </row>
    <row r="126" spans="1:34">
      <c r="A126" s="957"/>
      <c r="B126" s="958">
        <v>105</v>
      </c>
      <c r="C126" s="959" t="s">
        <v>189</v>
      </c>
      <c r="D126" s="958">
        <v>-1</v>
      </c>
      <c r="E126" s="958">
        <v>3.18</v>
      </c>
      <c r="F126" s="960"/>
      <c r="G126" s="961"/>
      <c r="H126" s="962"/>
      <c r="I126" s="963"/>
      <c r="J126" s="964"/>
      <c r="K126" s="964">
        <v>25</v>
      </c>
      <c r="L126" s="962">
        <v>0</v>
      </c>
      <c r="M126" s="965" t="s">
        <v>371</v>
      </c>
      <c r="N126" s="966"/>
      <c r="O126" s="967"/>
      <c r="P126" s="958"/>
      <c r="Q126" s="958"/>
      <c r="R126" s="94"/>
      <c r="S126" s="94"/>
      <c r="T126" s="94"/>
      <c r="U126" s="94"/>
      <c r="V126" s="94"/>
      <c r="W126" s="94"/>
      <c r="X126" s="94"/>
      <c r="Y126" s="94"/>
      <c r="Z126" s="94"/>
      <c r="AA126" s="24"/>
      <c r="AB126" s="24"/>
      <c r="AC126" s="24"/>
      <c r="AD126" s="24"/>
      <c r="AE126" s="24"/>
      <c r="AF126" s="24"/>
      <c r="AG126" s="24"/>
      <c r="AH126" s="24"/>
    </row>
    <row r="127" spans="1:34">
      <c r="A127" s="957"/>
      <c r="B127" s="958">
        <v>106</v>
      </c>
      <c r="C127" s="959" t="s">
        <v>88</v>
      </c>
      <c r="D127" s="958">
        <v>-1</v>
      </c>
      <c r="E127" s="958">
        <v>4.71</v>
      </c>
      <c r="F127" s="960"/>
      <c r="G127" s="961"/>
      <c r="H127" s="962"/>
      <c r="I127" s="963"/>
      <c r="J127" s="964"/>
      <c r="K127" s="964">
        <v>25</v>
      </c>
      <c r="L127" s="962">
        <v>0</v>
      </c>
      <c r="M127" s="965" t="s">
        <v>87</v>
      </c>
      <c r="N127" s="966"/>
      <c r="O127" s="967"/>
      <c r="P127" s="958"/>
      <c r="Q127" s="958"/>
      <c r="R127" s="94"/>
      <c r="S127" s="94"/>
      <c r="T127" s="94"/>
      <c r="U127" s="94"/>
      <c r="V127" s="94"/>
      <c r="W127" s="94"/>
      <c r="X127" s="94"/>
      <c r="Y127" s="94"/>
      <c r="Z127" s="94"/>
      <c r="AA127" s="24"/>
      <c r="AB127" s="24"/>
      <c r="AC127" s="24"/>
      <c r="AD127" s="24"/>
      <c r="AE127" s="24"/>
      <c r="AF127" s="24"/>
      <c r="AG127" s="24"/>
      <c r="AH127" s="24"/>
    </row>
    <row r="128" spans="1:34">
      <c r="A128" s="957"/>
      <c r="B128" s="958">
        <v>107</v>
      </c>
      <c r="C128" s="959" t="s">
        <v>90</v>
      </c>
      <c r="D128" s="958">
        <v>-1</v>
      </c>
      <c r="E128" s="958">
        <v>4.8899999999999997</v>
      </c>
      <c r="F128" s="960"/>
      <c r="G128" s="961"/>
      <c r="H128" s="962"/>
      <c r="I128" s="963"/>
      <c r="J128" s="964"/>
      <c r="K128" s="964">
        <v>25</v>
      </c>
      <c r="L128" s="962">
        <v>0</v>
      </c>
      <c r="M128" s="965" t="s">
        <v>89</v>
      </c>
      <c r="N128" s="966"/>
      <c r="O128" s="967"/>
      <c r="P128" s="958"/>
      <c r="Q128" s="958"/>
      <c r="R128" s="94"/>
      <c r="S128" s="94"/>
      <c r="T128" s="94"/>
      <c r="U128" s="94"/>
      <c r="V128" s="94"/>
      <c r="W128" s="94"/>
      <c r="X128" s="94"/>
      <c r="Y128" s="94"/>
      <c r="Z128" s="94"/>
      <c r="AA128" s="24"/>
      <c r="AB128" s="24"/>
      <c r="AC128" s="24"/>
      <c r="AD128" s="24"/>
      <c r="AE128" s="24"/>
      <c r="AF128" s="24"/>
      <c r="AG128" s="24"/>
      <c r="AH128" s="24"/>
    </row>
    <row r="129" spans="1:34">
      <c r="A129" s="957"/>
      <c r="B129" s="958">
        <v>108</v>
      </c>
      <c r="C129" s="959" t="s">
        <v>92</v>
      </c>
      <c r="D129" s="958">
        <v>0</v>
      </c>
      <c r="E129" s="958">
        <v>10.67</v>
      </c>
      <c r="F129" s="960"/>
      <c r="G129" s="961"/>
      <c r="H129" s="962"/>
      <c r="I129" s="963"/>
      <c r="J129" s="964"/>
      <c r="K129" s="964">
        <v>25</v>
      </c>
      <c r="L129" s="962">
        <v>0</v>
      </c>
      <c r="M129" s="965" t="s">
        <v>91</v>
      </c>
      <c r="N129" s="966"/>
      <c r="O129" s="967"/>
      <c r="P129" s="958"/>
      <c r="Q129" s="958"/>
      <c r="R129" s="94"/>
      <c r="S129" s="94"/>
      <c r="T129" s="94"/>
      <c r="U129" s="94"/>
      <c r="V129" s="94"/>
      <c r="W129" s="94"/>
      <c r="X129" s="94"/>
      <c r="Y129" s="94"/>
      <c r="Z129" s="94"/>
      <c r="AA129" s="24"/>
      <c r="AB129" s="24"/>
      <c r="AC129" s="24"/>
      <c r="AD129" s="24"/>
      <c r="AE129" s="24"/>
      <c r="AF129" s="24"/>
      <c r="AG129" s="24"/>
      <c r="AH129" s="24"/>
    </row>
    <row r="130" spans="1:34">
      <c r="A130" s="957"/>
      <c r="B130" s="958">
        <v>109</v>
      </c>
      <c r="C130" s="959" t="s">
        <v>62</v>
      </c>
      <c r="D130" s="958">
        <v>0</v>
      </c>
      <c r="E130" s="958">
        <v>11.856999999999999</v>
      </c>
      <c r="F130" s="960">
        <v>10.762</v>
      </c>
      <c r="G130" s="961"/>
      <c r="H130" s="962"/>
      <c r="I130" s="963"/>
      <c r="J130" s="964"/>
      <c r="K130" s="964">
        <v>0</v>
      </c>
      <c r="L130" s="962">
        <v>0</v>
      </c>
      <c r="M130" s="965" t="s">
        <v>61</v>
      </c>
      <c r="N130" s="966"/>
      <c r="O130" s="967"/>
      <c r="P130" s="958"/>
      <c r="Q130" s="958"/>
      <c r="R130" s="94"/>
      <c r="S130" s="94"/>
      <c r="T130" s="94"/>
      <c r="U130" s="94"/>
      <c r="V130" s="94"/>
      <c r="W130" s="94"/>
      <c r="X130" s="94"/>
      <c r="Y130" s="94"/>
      <c r="Z130" s="94"/>
      <c r="AA130" s="24"/>
      <c r="AB130" s="24"/>
      <c r="AC130" s="24"/>
      <c r="AD130" s="24"/>
      <c r="AE130" s="24"/>
      <c r="AF130" s="24"/>
      <c r="AG130" s="24"/>
      <c r="AH130" s="24"/>
    </row>
    <row r="131" spans="1:34">
      <c r="A131" s="957"/>
      <c r="B131" s="958">
        <v>110</v>
      </c>
      <c r="C131" s="959" t="s">
        <v>49</v>
      </c>
      <c r="D131" s="958">
        <v>-1</v>
      </c>
      <c r="E131" s="958">
        <v>4.8499999999999996</v>
      </c>
      <c r="F131" s="960"/>
      <c r="G131" s="961"/>
      <c r="H131" s="962"/>
      <c r="I131" s="963"/>
      <c r="J131" s="964"/>
      <c r="K131" s="964">
        <v>25</v>
      </c>
      <c r="L131" s="962">
        <v>0</v>
      </c>
      <c r="M131" s="965" t="s">
        <v>48</v>
      </c>
      <c r="N131" s="966"/>
      <c r="O131" s="967"/>
      <c r="P131" s="958"/>
      <c r="Q131" s="958"/>
      <c r="R131" s="94"/>
      <c r="S131" s="94"/>
      <c r="T131" s="94"/>
      <c r="U131" s="94"/>
      <c r="V131" s="94"/>
      <c r="W131" s="94"/>
      <c r="X131" s="94"/>
      <c r="Y131" s="94"/>
      <c r="Z131" s="94"/>
      <c r="AA131" s="24"/>
      <c r="AB131" s="24"/>
      <c r="AC131" s="24"/>
      <c r="AD131" s="24"/>
      <c r="AE131" s="24"/>
      <c r="AF131" s="24"/>
      <c r="AG131" s="24"/>
      <c r="AH131" s="24"/>
    </row>
    <row r="132" spans="1:34">
      <c r="A132" s="957"/>
      <c r="B132" s="958">
        <v>111</v>
      </c>
      <c r="C132" s="959" t="s">
        <v>60</v>
      </c>
      <c r="D132" s="958">
        <v>0</v>
      </c>
      <c r="E132" s="958">
        <v>10.56</v>
      </c>
      <c r="F132" s="960"/>
      <c r="G132" s="961"/>
      <c r="H132" s="962"/>
      <c r="I132" s="963"/>
      <c r="J132" s="964"/>
      <c r="K132" s="964">
        <v>25</v>
      </c>
      <c r="L132" s="962">
        <v>0</v>
      </c>
      <c r="M132" s="965" t="s">
        <v>58</v>
      </c>
      <c r="N132" s="966"/>
      <c r="O132" s="967"/>
      <c r="P132" s="958"/>
      <c r="Q132" s="958"/>
      <c r="R132" s="94"/>
      <c r="S132" s="94"/>
      <c r="T132" s="94"/>
      <c r="U132" s="94"/>
      <c r="V132" s="94"/>
      <c r="W132" s="94"/>
      <c r="X132" s="94"/>
      <c r="Y132" s="94"/>
      <c r="Z132" s="94"/>
      <c r="AA132" s="24"/>
      <c r="AB132" s="24"/>
      <c r="AC132" s="24"/>
      <c r="AD132" s="24"/>
      <c r="AE132" s="24"/>
      <c r="AF132" s="24"/>
      <c r="AG132" s="24"/>
      <c r="AH132" s="24"/>
    </row>
    <row r="133" spans="1:34">
      <c r="A133" s="957"/>
      <c r="B133" s="958">
        <v>112</v>
      </c>
      <c r="C133" s="959" t="s">
        <v>444</v>
      </c>
      <c r="D133" s="958">
        <v>0</v>
      </c>
      <c r="E133" s="958">
        <v>6.04</v>
      </c>
      <c r="F133" s="960">
        <v>9.75</v>
      </c>
      <c r="G133" s="961"/>
      <c r="H133" s="962"/>
      <c r="I133" s="963"/>
      <c r="J133" s="964"/>
      <c r="K133" s="964">
        <v>25</v>
      </c>
      <c r="L133" s="962">
        <v>0</v>
      </c>
      <c r="M133" s="965" t="s">
        <v>443</v>
      </c>
      <c r="N133" s="966"/>
      <c r="O133" s="967"/>
      <c r="P133" s="958"/>
      <c r="Q133" s="958"/>
      <c r="R133" s="94"/>
      <c r="S133" s="94"/>
      <c r="T133" s="94"/>
      <c r="U133" s="94"/>
      <c r="V133" s="94"/>
      <c r="W133" s="94"/>
      <c r="X133" s="94"/>
      <c r="Y133" s="94"/>
      <c r="Z133" s="94"/>
      <c r="AA133" s="24"/>
      <c r="AB133" s="24"/>
      <c r="AC133" s="24"/>
      <c r="AD133" s="24"/>
      <c r="AE133" s="24"/>
      <c r="AF133" s="24"/>
      <c r="AG133" s="24"/>
      <c r="AH133" s="24"/>
    </row>
    <row r="134" spans="1:34">
      <c r="A134" s="957"/>
      <c r="B134" s="958">
        <v>113</v>
      </c>
      <c r="C134" s="959" t="s">
        <v>190</v>
      </c>
      <c r="D134" s="958">
        <v>-1</v>
      </c>
      <c r="E134" s="958">
        <v>1.49</v>
      </c>
      <c r="F134" s="960">
        <v>6.02</v>
      </c>
      <c r="G134" s="961">
        <v>9.2899999999999991</v>
      </c>
      <c r="H134" s="962"/>
      <c r="I134" s="963"/>
      <c r="J134" s="964"/>
      <c r="K134" s="964">
        <v>25</v>
      </c>
      <c r="L134" s="949">
        <v>0</v>
      </c>
      <c r="M134" s="965" t="s">
        <v>45</v>
      </c>
      <c r="N134" s="966"/>
      <c r="O134" s="967"/>
      <c r="P134" s="958"/>
      <c r="Q134" s="958"/>
      <c r="R134" s="94"/>
      <c r="S134" s="94"/>
      <c r="T134" s="94"/>
      <c r="U134" s="94"/>
      <c r="V134" s="94"/>
      <c r="W134" s="94"/>
      <c r="X134" s="94"/>
      <c r="Y134" s="94"/>
      <c r="Z134" s="94"/>
      <c r="AA134" s="24"/>
      <c r="AB134" s="24"/>
      <c r="AC134" s="24"/>
      <c r="AD134" s="24"/>
      <c r="AE134" s="24"/>
      <c r="AF134" s="24"/>
      <c r="AG134" s="24"/>
      <c r="AH134" s="24"/>
    </row>
    <row r="135" spans="1:34">
      <c r="A135" s="957"/>
      <c r="B135" s="958">
        <v>114</v>
      </c>
      <c r="C135" s="959" t="s">
        <v>562</v>
      </c>
      <c r="D135" s="958">
        <v>0</v>
      </c>
      <c r="E135" s="958">
        <v>8.07</v>
      </c>
      <c r="F135" s="960"/>
      <c r="G135" s="961"/>
      <c r="H135" s="962"/>
      <c r="I135" s="963"/>
      <c r="J135" s="964"/>
      <c r="K135" s="964">
        <v>30</v>
      </c>
      <c r="L135" s="962"/>
      <c r="M135" s="965" t="s">
        <v>563</v>
      </c>
      <c r="N135" s="966"/>
      <c r="O135" s="967"/>
      <c r="P135" s="958"/>
      <c r="Q135" s="958"/>
      <c r="R135" s="94"/>
      <c r="S135" s="94"/>
      <c r="T135" s="94"/>
      <c r="U135" s="94"/>
      <c r="V135" s="94"/>
      <c r="W135" s="94"/>
      <c r="X135" s="94"/>
      <c r="Y135" s="94"/>
      <c r="Z135" s="94"/>
      <c r="AA135" s="24"/>
      <c r="AB135" s="24"/>
      <c r="AC135" s="24"/>
      <c r="AD135" s="24"/>
      <c r="AE135" s="24"/>
      <c r="AF135" s="24"/>
      <c r="AG135" s="24"/>
      <c r="AH135" s="24"/>
    </row>
    <row r="136" spans="1:34">
      <c r="A136" s="957"/>
      <c r="B136" s="958">
        <v>115</v>
      </c>
      <c r="C136" s="959" t="s">
        <v>354</v>
      </c>
      <c r="D136" s="958">
        <v>-1</v>
      </c>
      <c r="E136" s="958">
        <v>4.72</v>
      </c>
      <c r="F136" s="960"/>
      <c r="G136" s="961"/>
      <c r="H136" s="962"/>
      <c r="I136" s="963"/>
      <c r="J136" s="964"/>
      <c r="K136" s="964"/>
      <c r="L136" s="962"/>
      <c r="M136" s="965" t="s">
        <v>355</v>
      </c>
      <c r="N136" s="966"/>
      <c r="O136" s="967"/>
      <c r="P136" s="958"/>
      <c r="Q136" s="958"/>
      <c r="R136" s="94"/>
      <c r="S136" s="94"/>
      <c r="T136" s="94"/>
      <c r="U136" s="94"/>
      <c r="V136" s="94"/>
      <c r="W136" s="94"/>
      <c r="X136" s="94"/>
      <c r="Y136" s="94"/>
      <c r="Z136" s="94"/>
      <c r="AA136" s="24"/>
      <c r="AB136" s="24"/>
      <c r="AC136" s="24"/>
      <c r="AD136" s="24"/>
      <c r="AE136" s="24"/>
      <c r="AF136" s="24"/>
      <c r="AG136" s="24"/>
      <c r="AH136" s="24"/>
    </row>
    <row r="137" spans="1:34">
      <c r="A137" s="957"/>
      <c r="B137" s="958">
        <v>116</v>
      </c>
      <c r="C137" s="959" t="s">
        <v>191</v>
      </c>
      <c r="D137" s="958">
        <v>-1</v>
      </c>
      <c r="E137" s="969">
        <v>-9</v>
      </c>
      <c r="F137" s="970"/>
      <c r="G137" s="970"/>
      <c r="H137" s="970"/>
      <c r="I137" s="970"/>
      <c r="J137" s="970"/>
      <c r="K137" s="971">
        <v>25</v>
      </c>
      <c r="L137" s="968">
        <v>0</v>
      </c>
      <c r="M137" s="965" t="s">
        <v>325</v>
      </c>
      <c r="N137" s="966"/>
      <c r="O137" s="967"/>
      <c r="P137" s="958"/>
      <c r="Q137" s="958"/>
      <c r="R137" s="94"/>
      <c r="S137" s="94"/>
      <c r="T137" s="94"/>
      <c r="U137" s="94"/>
      <c r="V137" s="94"/>
      <c r="W137" s="94"/>
      <c r="X137" s="94"/>
      <c r="Y137" s="94"/>
      <c r="Z137" s="94"/>
      <c r="AA137" s="24"/>
      <c r="AB137" s="24"/>
      <c r="AC137" s="24"/>
      <c r="AD137" s="24"/>
      <c r="AE137" s="24"/>
      <c r="AF137" s="24"/>
      <c r="AG137" s="24"/>
      <c r="AH137" s="24"/>
    </row>
    <row r="138" spans="1:34">
      <c r="A138" s="957"/>
      <c r="B138" s="958">
        <v>117</v>
      </c>
      <c r="C138" s="959" t="s">
        <v>192</v>
      </c>
      <c r="D138" s="958">
        <v>-1</v>
      </c>
      <c r="E138" s="969">
        <v>-7</v>
      </c>
      <c r="F138" s="970"/>
      <c r="G138" s="970"/>
      <c r="H138" s="970"/>
      <c r="I138" s="970"/>
      <c r="J138" s="970"/>
      <c r="K138" s="971">
        <v>25</v>
      </c>
      <c r="L138" s="968">
        <v>0</v>
      </c>
      <c r="M138" s="965" t="s">
        <v>326</v>
      </c>
      <c r="N138" s="966"/>
      <c r="O138" s="967"/>
      <c r="P138" s="958"/>
      <c r="Q138" s="958"/>
      <c r="R138" s="94"/>
      <c r="S138" s="94"/>
      <c r="T138" s="94"/>
      <c r="U138" s="94"/>
      <c r="V138" s="94"/>
      <c r="W138" s="94"/>
      <c r="X138" s="94"/>
      <c r="Y138" s="94"/>
      <c r="Z138" s="94"/>
      <c r="AA138" s="24"/>
      <c r="AB138" s="24"/>
      <c r="AC138" s="24"/>
      <c r="AD138" s="24"/>
      <c r="AE138" s="24"/>
      <c r="AF138" s="24"/>
      <c r="AG138" s="24"/>
      <c r="AH138" s="24"/>
    </row>
    <row r="139" spans="1:34" ht="15.75">
      <c r="A139" s="957"/>
      <c r="B139" s="958">
        <v>118</v>
      </c>
      <c r="C139" s="959" t="s">
        <v>193</v>
      </c>
      <c r="D139" s="958">
        <v>-1</v>
      </c>
      <c r="E139" s="958">
        <v>6.52</v>
      </c>
      <c r="F139" s="960"/>
      <c r="G139" s="961"/>
      <c r="H139" s="962"/>
      <c r="I139" s="963"/>
      <c r="J139" s="964"/>
      <c r="K139" s="964"/>
      <c r="L139" s="962"/>
      <c r="M139" s="965" t="s">
        <v>564</v>
      </c>
      <c r="N139" s="966"/>
      <c r="O139" s="967"/>
      <c r="P139" s="958"/>
      <c r="Q139" s="958"/>
      <c r="R139" s="94"/>
      <c r="S139" s="94"/>
      <c r="T139" s="94"/>
      <c r="U139" s="94"/>
      <c r="V139" s="94"/>
      <c r="W139" s="94"/>
      <c r="X139" s="94"/>
      <c r="Y139" s="94"/>
      <c r="Z139" s="94"/>
      <c r="AA139" s="24"/>
      <c r="AB139" s="24"/>
      <c r="AC139" s="24"/>
      <c r="AD139" s="24"/>
      <c r="AE139" s="24"/>
      <c r="AF139" s="24"/>
      <c r="AG139" s="24"/>
      <c r="AH139" s="24"/>
    </row>
    <row r="140" spans="1:34">
      <c r="A140" s="957"/>
      <c r="B140" s="958">
        <v>119</v>
      </c>
      <c r="C140" s="959" t="s">
        <v>194</v>
      </c>
      <c r="D140" s="958">
        <v>-1</v>
      </c>
      <c r="E140" s="958">
        <v>9.2100000000000009</v>
      </c>
      <c r="F140" s="960"/>
      <c r="G140" s="961"/>
      <c r="H140" s="962"/>
      <c r="I140" s="963"/>
      <c r="J140" s="964"/>
      <c r="K140" s="964">
        <v>25</v>
      </c>
      <c r="L140" s="962">
        <v>0</v>
      </c>
      <c r="M140" s="965" t="s">
        <v>329</v>
      </c>
      <c r="N140" s="966"/>
      <c r="O140" s="967"/>
      <c r="P140" s="958"/>
      <c r="Q140" s="958"/>
      <c r="R140" s="94"/>
      <c r="S140" s="94"/>
      <c r="T140" s="94"/>
      <c r="U140" s="94"/>
      <c r="V140" s="94"/>
      <c r="W140" s="94"/>
      <c r="X140" s="94"/>
      <c r="Y140" s="94"/>
      <c r="Z140" s="94"/>
      <c r="AA140" s="24"/>
      <c r="AB140" s="24"/>
      <c r="AC140" s="24"/>
      <c r="AD140" s="24"/>
      <c r="AE140" s="24"/>
      <c r="AF140" s="24"/>
      <c r="AG140" s="24"/>
      <c r="AH140" s="24"/>
    </row>
    <row r="141" spans="1:34">
      <c r="A141" s="957"/>
      <c r="B141" s="958">
        <v>120</v>
      </c>
      <c r="C141" s="959" t="s">
        <v>195</v>
      </c>
      <c r="D141" s="958">
        <v>-1</v>
      </c>
      <c r="E141" s="958">
        <v>3.17</v>
      </c>
      <c r="F141" s="960"/>
      <c r="G141" s="961"/>
      <c r="H141" s="962"/>
      <c r="I141" s="963"/>
      <c r="J141" s="964"/>
      <c r="K141" s="964">
        <v>25</v>
      </c>
      <c r="L141" s="962">
        <v>0</v>
      </c>
      <c r="M141" s="965" t="s">
        <v>327</v>
      </c>
      <c r="N141" s="966"/>
      <c r="O141" s="967"/>
      <c r="P141" s="958"/>
      <c r="Q141" s="958"/>
      <c r="R141" s="94"/>
      <c r="S141" s="94"/>
      <c r="T141" s="94"/>
      <c r="U141" s="94"/>
      <c r="V141" s="94"/>
      <c r="W141" s="94"/>
      <c r="X141" s="94"/>
      <c r="Y141" s="94"/>
      <c r="Z141" s="94"/>
      <c r="AA141" s="24"/>
      <c r="AB141" s="24"/>
      <c r="AC141" s="24"/>
      <c r="AD141" s="24"/>
      <c r="AE141" s="24"/>
      <c r="AF141" s="24"/>
      <c r="AG141" s="24"/>
      <c r="AH141" s="24"/>
    </row>
    <row r="142" spans="1:34">
      <c r="A142" s="957"/>
      <c r="B142" s="958">
        <v>121</v>
      </c>
      <c r="C142" s="959" t="s">
        <v>310</v>
      </c>
      <c r="D142" s="958">
        <v>-1</v>
      </c>
      <c r="E142" s="958">
        <v>11.65</v>
      </c>
      <c r="F142" s="960"/>
      <c r="G142" s="961"/>
      <c r="H142" s="962"/>
      <c r="I142" s="963"/>
      <c r="J142" s="964"/>
      <c r="K142" s="964">
        <v>25</v>
      </c>
      <c r="L142" s="962">
        <v>0</v>
      </c>
      <c r="M142" s="965" t="s">
        <v>196</v>
      </c>
      <c r="N142" s="966"/>
      <c r="O142" s="967"/>
      <c r="P142" s="958"/>
      <c r="Q142" s="958"/>
      <c r="R142" s="94"/>
      <c r="S142" s="94"/>
      <c r="T142" s="94"/>
      <c r="U142" s="94"/>
      <c r="V142" s="94"/>
      <c r="W142" s="94"/>
      <c r="X142" s="94"/>
      <c r="Y142" s="94"/>
      <c r="Z142" s="94"/>
      <c r="AA142" s="24"/>
      <c r="AB142" s="24"/>
      <c r="AC142" s="24"/>
      <c r="AD142" s="24"/>
      <c r="AE142" s="24"/>
      <c r="AF142" s="24"/>
      <c r="AG142" s="24"/>
      <c r="AH142" s="24"/>
    </row>
    <row r="143" spans="1:34" ht="15.75">
      <c r="A143" s="957"/>
      <c r="B143" s="958">
        <v>122</v>
      </c>
      <c r="C143" s="959" t="s">
        <v>356</v>
      </c>
      <c r="D143" s="958">
        <v>-1</v>
      </c>
      <c r="E143" s="958">
        <v>1.66</v>
      </c>
      <c r="F143" s="960"/>
      <c r="G143" s="961"/>
      <c r="H143" s="962"/>
      <c r="I143" s="963"/>
      <c r="J143" s="964"/>
      <c r="K143" s="964"/>
      <c r="L143" s="962"/>
      <c r="M143" s="965" t="s">
        <v>565</v>
      </c>
      <c r="N143" s="966"/>
      <c r="O143" s="967"/>
      <c r="P143" s="958"/>
      <c r="Q143" s="958"/>
      <c r="R143" s="94"/>
      <c r="S143" s="94"/>
      <c r="T143" s="94"/>
      <c r="U143" s="94"/>
      <c r="V143" s="94"/>
      <c r="W143" s="94"/>
      <c r="X143" s="94"/>
      <c r="Y143" s="94"/>
      <c r="Z143" s="94"/>
      <c r="AA143" s="24"/>
      <c r="AB143" s="24"/>
      <c r="AC143" s="24"/>
      <c r="AD143" s="24"/>
      <c r="AE143" s="24"/>
      <c r="AF143" s="24"/>
      <c r="AG143" s="24"/>
      <c r="AH143" s="24"/>
    </row>
    <row r="144" spans="1:34">
      <c r="A144" s="957"/>
      <c r="B144" s="958">
        <v>123</v>
      </c>
      <c r="C144" s="959" t="s">
        <v>309</v>
      </c>
      <c r="D144" s="958">
        <v>-2</v>
      </c>
      <c r="E144" s="958">
        <v>7.02</v>
      </c>
      <c r="F144" s="960">
        <v>13.9</v>
      </c>
      <c r="G144" s="961"/>
      <c r="H144" s="962"/>
      <c r="I144" s="963"/>
      <c r="J144" s="964"/>
      <c r="K144" s="964">
        <v>25</v>
      </c>
      <c r="L144" s="962">
        <v>0</v>
      </c>
      <c r="M144" s="965" t="s">
        <v>197</v>
      </c>
      <c r="N144" s="966"/>
      <c r="O144" s="967"/>
      <c r="P144" s="958"/>
      <c r="Q144" s="958"/>
      <c r="R144" s="94"/>
      <c r="S144" s="94"/>
      <c r="T144" s="94"/>
      <c r="U144" s="94"/>
      <c r="V144" s="94"/>
      <c r="W144" s="94"/>
      <c r="X144" s="94"/>
      <c r="Y144" s="94"/>
      <c r="Z144" s="94"/>
      <c r="AA144" s="24"/>
      <c r="AB144" s="24"/>
      <c r="AC144" s="24"/>
      <c r="AD144" s="24"/>
      <c r="AE144" s="24"/>
      <c r="AF144" s="24"/>
      <c r="AG144" s="24"/>
      <c r="AH144" s="24"/>
    </row>
    <row r="145" spans="1:34">
      <c r="A145" s="957"/>
      <c r="B145" s="958">
        <v>124</v>
      </c>
      <c r="C145" s="959" t="s">
        <v>198</v>
      </c>
      <c r="D145" s="958">
        <v>-1</v>
      </c>
      <c r="E145" s="958">
        <v>0.9</v>
      </c>
      <c r="F145" s="960"/>
      <c r="G145" s="961"/>
      <c r="H145" s="962"/>
      <c r="I145" s="963"/>
      <c r="J145" s="964"/>
      <c r="K145" s="964">
        <v>25</v>
      </c>
      <c r="L145" s="962">
        <v>0</v>
      </c>
      <c r="M145" s="965" t="s">
        <v>199</v>
      </c>
      <c r="N145" s="966"/>
      <c r="O145" s="967"/>
      <c r="P145" s="958"/>
      <c r="Q145" s="958"/>
      <c r="R145" s="94"/>
      <c r="S145" s="94"/>
      <c r="T145" s="94"/>
      <c r="U145" s="94"/>
      <c r="V145" s="94"/>
      <c r="W145" s="94"/>
      <c r="X145" s="94"/>
      <c r="Y145" s="94"/>
      <c r="Z145" s="94"/>
      <c r="AA145" s="24"/>
      <c r="AB145" s="24"/>
      <c r="AC145" s="24"/>
      <c r="AD145" s="24"/>
      <c r="AE145" s="24"/>
      <c r="AF145" s="24"/>
      <c r="AG145" s="24"/>
      <c r="AH145" s="24"/>
    </row>
    <row r="146" spans="1:34">
      <c r="A146" s="957"/>
      <c r="B146" s="958">
        <v>125</v>
      </c>
      <c r="C146" s="959" t="s">
        <v>484</v>
      </c>
      <c r="D146" s="958">
        <v>0</v>
      </c>
      <c r="E146" s="958">
        <v>10.35</v>
      </c>
      <c r="F146" s="960"/>
      <c r="G146" s="961"/>
      <c r="H146" s="962"/>
      <c r="I146" s="963"/>
      <c r="J146" s="964"/>
      <c r="K146" s="964">
        <v>20</v>
      </c>
      <c r="L146" s="962"/>
      <c r="M146" s="965" t="s">
        <v>483</v>
      </c>
      <c r="N146" s="966"/>
      <c r="O146" s="967"/>
      <c r="P146" s="958"/>
      <c r="Q146" s="958"/>
      <c r="R146" s="94"/>
      <c r="S146" s="94"/>
      <c r="T146" s="94"/>
      <c r="U146" s="94"/>
      <c r="V146" s="94"/>
      <c r="W146" s="94"/>
      <c r="X146" s="94"/>
      <c r="Y146" s="94"/>
      <c r="Z146" s="94"/>
      <c r="AA146" s="24"/>
      <c r="AB146" s="24"/>
      <c r="AC146" s="24"/>
      <c r="AD146" s="24"/>
      <c r="AE146" s="24"/>
      <c r="AF146" s="24"/>
      <c r="AG146" s="24"/>
      <c r="AH146" s="24"/>
    </row>
    <row r="147" spans="1:34">
      <c r="A147" s="957"/>
      <c r="B147" s="958">
        <v>126</v>
      </c>
      <c r="C147" s="959" t="s">
        <v>200</v>
      </c>
      <c r="D147" s="958">
        <v>0</v>
      </c>
      <c r="E147" s="958">
        <v>5.96</v>
      </c>
      <c r="F147" s="960"/>
      <c r="G147" s="961"/>
      <c r="H147" s="962"/>
      <c r="I147" s="963"/>
      <c r="J147" s="964"/>
      <c r="K147" s="964">
        <v>25</v>
      </c>
      <c r="L147" s="962">
        <v>0</v>
      </c>
      <c r="M147" s="965" t="s">
        <v>201</v>
      </c>
      <c r="N147" s="966"/>
      <c r="O147" s="967"/>
      <c r="P147" s="958"/>
      <c r="Q147" s="958"/>
      <c r="R147" s="94"/>
      <c r="S147" s="94"/>
      <c r="T147" s="94"/>
      <c r="U147" s="94"/>
      <c r="V147" s="94"/>
      <c r="W147" s="94"/>
      <c r="X147" s="94"/>
      <c r="Y147" s="94"/>
      <c r="Z147" s="94"/>
      <c r="AA147" s="24"/>
      <c r="AB147" s="24"/>
      <c r="AC147" s="24"/>
      <c r="AD147" s="24"/>
      <c r="AE147" s="24"/>
      <c r="AF147" s="24"/>
      <c r="AG147" s="24"/>
      <c r="AH147" s="24"/>
    </row>
    <row r="148" spans="1:34">
      <c r="A148" s="957"/>
      <c r="B148" s="958">
        <v>127</v>
      </c>
      <c r="C148" s="959" t="s">
        <v>76</v>
      </c>
      <c r="D148" s="958">
        <v>-2</v>
      </c>
      <c r="E148" s="958">
        <v>4.0599999999999996</v>
      </c>
      <c r="F148" s="960">
        <v>9.92</v>
      </c>
      <c r="G148" s="961"/>
      <c r="H148" s="962"/>
      <c r="I148" s="963"/>
      <c r="J148" s="964"/>
      <c r="K148" s="964">
        <v>19</v>
      </c>
      <c r="L148" s="962">
        <v>0</v>
      </c>
      <c r="M148" s="965" t="s">
        <v>75</v>
      </c>
      <c r="N148" s="966"/>
      <c r="O148" s="967"/>
      <c r="P148" s="958"/>
      <c r="Q148" s="958"/>
      <c r="R148" s="94"/>
      <c r="S148" s="94"/>
      <c r="T148" s="94"/>
      <c r="U148" s="94"/>
      <c r="V148" s="94"/>
      <c r="W148" s="94"/>
      <c r="X148" s="94"/>
      <c r="Y148" s="94"/>
      <c r="Z148" s="94"/>
      <c r="AA148" s="24"/>
      <c r="AB148" s="24"/>
      <c r="AC148" s="24"/>
      <c r="AD148" s="24"/>
      <c r="AE148" s="24"/>
      <c r="AF148" s="24"/>
      <c r="AG148" s="24"/>
      <c r="AH148" s="24"/>
    </row>
    <row r="149" spans="1:34">
      <c r="A149" s="957"/>
      <c r="B149" s="958">
        <v>128</v>
      </c>
      <c r="C149" s="959" t="s">
        <v>77</v>
      </c>
      <c r="D149" s="958">
        <v>-2</v>
      </c>
      <c r="E149" s="958">
        <v>4.4800000000000004</v>
      </c>
      <c r="F149" s="960">
        <v>9.32</v>
      </c>
      <c r="G149" s="961"/>
      <c r="H149" s="962"/>
      <c r="I149" s="963"/>
      <c r="J149" s="964"/>
      <c r="K149" s="964">
        <v>19</v>
      </c>
      <c r="L149" s="962">
        <v>0</v>
      </c>
      <c r="M149" s="965" t="s">
        <v>75</v>
      </c>
      <c r="N149" s="966"/>
      <c r="O149" s="967"/>
      <c r="P149" s="958"/>
      <c r="Q149" s="958"/>
      <c r="R149" s="94"/>
      <c r="S149" s="94"/>
      <c r="T149" s="94"/>
      <c r="U149" s="94"/>
      <c r="V149" s="94"/>
      <c r="W149" s="94"/>
      <c r="X149" s="94"/>
      <c r="Y149" s="94"/>
      <c r="Z149" s="94"/>
      <c r="AA149" s="24"/>
      <c r="AB149" s="24"/>
      <c r="AC149" s="24"/>
      <c r="AD149" s="24"/>
      <c r="AE149" s="24"/>
      <c r="AF149" s="24"/>
      <c r="AG149" s="24"/>
      <c r="AH149" s="24"/>
    </row>
    <row r="150" spans="1:34">
      <c r="A150" s="957"/>
      <c r="B150" s="958">
        <v>129</v>
      </c>
      <c r="C150" s="959" t="s">
        <v>390</v>
      </c>
      <c r="D150" s="958">
        <v>-1</v>
      </c>
      <c r="E150" s="958">
        <v>4.51</v>
      </c>
      <c r="F150" s="960"/>
      <c r="G150" s="961"/>
      <c r="H150" s="962"/>
      <c r="I150" s="963"/>
      <c r="J150" s="964"/>
      <c r="K150" s="964">
        <v>25</v>
      </c>
      <c r="L150" s="962">
        <v>0</v>
      </c>
      <c r="M150" s="965" t="s">
        <v>389</v>
      </c>
      <c r="N150" s="966"/>
      <c r="O150" s="967"/>
      <c r="P150" s="958"/>
      <c r="Q150" s="958"/>
      <c r="R150" s="94"/>
      <c r="S150" s="94"/>
      <c r="T150" s="94"/>
      <c r="U150" s="94"/>
      <c r="V150" s="94"/>
      <c r="W150" s="94"/>
      <c r="X150" s="94"/>
      <c r="Y150" s="94"/>
      <c r="Z150" s="94"/>
      <c r="AA150" s="24"/>
      <c r="AB150" s="24"/>
      <c r="AC150" s="24"/>
      <c r="AD150" s="24"/>
      <c r="AE150" s="24"/>
      <c r="AF150" s="24"/>
      <c r="AG150" s="24"/>
      <c r="AH150" s="24"/>
    </row>
    <row r="151" spans="1:34">
      <c r="A151" s="957"/>
      <c r="B151" s="958">
        <v>130</v>
      </c>
      <c r="C151" s="959" t="s">
        <v>202</v>
      </c>
      <c r="D151" s="958">
        <v>-1</v>
      </c>
      <c r="E151" s="958">
        <v>4.91</v>
      </c>
      <c r="F151" s="960">
        <v>9.81</v>
      </c>
      <c r="G151" s="961"/>
      <c r="H151" s="962"/>
      <c r="I151" s="963"/>
      <c r="J151" s="964"/>
      <c r="K151" s="964">
        <v>25</v>
      </c>
      <c r="L151" s="962">
        <v>0</v>
      </c>
      <c r="M151" s="965"/>
      <c r="N151" s="966"/>
      <c r="O151" s="967"/>
      <c r="P151" s="958"/>
      <c r="Q151" s="958"/>
      <c r="R151" s="94"/>
      <c r="S151" s="94"/>
      <c r="T151" s="94"/>
      <c r="U151" s="94"/>
      <c r="V151" s="94"/>
      <c r="W151" s="94"/>
      <c r="X151" s="94"/>
      <c r="Y151" s="94"/>
      <c r="Z151" s="94"/>
      <c r="AA151" s="24"/>
      <c r="AB151" s="24"/>
      <c r="AC151" s="24"/>
      <c r="AD151" s="24"/>
      <c r="AE151" s="24"/>
      <c r="AF151" s="24"/>
      <c r="AG151" s="24"/>
      <c r="AH151" s="24"/>
    </row>
    <row r="152" spans="1:34">
      <c r="A152" s="957"/>
      <c r="B152" s="958">
        <v>131</v>
      </c>
      <c r="C152" s="959" t="s">
        <v>307</v>
      </c>
      <c r="D152" s="958">
        <v>-1</v>
      </c>
      <c r="E152" s="958">
        <v>8.6300000000000008</v>
      </c>
      <c r="F152" s="960"/>
      <c r="G152" s="961"/>
      <c r="H152" s="962"/>
      <c r="I152" s="963"/>
      <c r="J152" s="964"/>
      <c r="K152" s="964">
        <v>25</v>
      </c>
      <c r="L152" s="962">
        <v>0</v>
      </c>
      <c r="M152" s="965" t="s">
        <v>203</v>
      </c>
      <c r="N152" s="966"/>
      <c r="O152" s="967"/>
      <c r="P152" s="958"/>
      <c r="Q152" s="958"/>
      <c r="R152" s="94"/>
      <c r="S152" s="94"/>
      <c r="T152" s="94"/>
      <c r="U152" s="94"/>
      <c r="V152" s="94"/>
      <c r="W152" s="94"/>
      <c r="X152" s="94"/>
      <c r="Y152" s="94"/>
      <c r="Z152" s="94"/>
      <c r="AA152" s="24"/>
      <c r="AB152" s="24"/>
      <c r="AC152" s="24"/>
      <c r="AD152" s="24"/>
      <c r="AE152" s="24"/>
      <c r="AF152" s="24"/>
      <c r="AG152" s="24"/>
      <c r="AH152" s="24"/>
    </row>
    <row r="153" spans="1:34">
      <c r="A153" s="957"/>
      <c r="B153" s="958">
        <v>132</v>
      </c>
      <c r="C153" s="959" t="s">
        <v>306</v>
      </c>
      <c r="D153" s="958">
        <v>-1</v>
      </c>
      <c r="E153" s="958">
        <v>7.53</v>
      </c>
      <c r="F153" s="960"/>
      <c r="G153" s="961"/>
      <c r="H153" s="962"/>
      <c r="I153" s="963"/>
      <c r="J153" s="964"/>
      <c r="K153" s="964">
        <v>25</v>
      </c>
      <c r="L153" s="962">
        <v>0</v>
      </c>
      <c r="M153" s="965" t="s">
        <v>204</v>
      </c>
      <c r="N153" s="966"/>
      <c r="O153" s="967"/>
      <c r="P153" s="958"/>
      <c r="Q153" s="958"/>
      <c r="R153" s="94"/>
      <c r="S153" s="94"/>
      <c r="T153" s="94"/>
      <c r="U153" s="94"/>
      <c r="V153" s="94"/>
      <c r="W153" s="94"/>
      <c r="X153" s="94"/>
      <c r="Y153" s="94"/>
      <c r="Z153" s="94"/>
      <c r="AA153" s="24"/>
      <c r="AB153" s="24"/>
      <c r="AC153" s="24"/>
      <c r="AD153" s="24"/>
      <c r="AE153" s="24"/>
      <c r="AF153" s="24"/>
      <c r="AG153" s="24"/>
      <c r="AH153" s="24"/>
    </row>
    <row r="154" spans="1:34">
      <c r="A154" s="957"/>
      <c r="B154" s="958">
        <v>133</v>
      </c>
      <c r="C154" s="959" t="s">
        <v>308</v>
      </c>
      <c r="D154" s="958">
        <v>-1</v>
      </c>
      <c r="E154" s="958">
        <v>10.64</v>
      </c>
      <c r="F154" s="960"/>
      <c r="G154" s="961"/>
      <c r="H154" s="962"/>
      <c r="I154" s="963"/>
      <c r="J154" s="964"/>
      <c r="K154" s="964">
        <v>25</v>
      </c>
      <c r="L154" s="962">
        <v>0</v>
      </c>
      <c r="M154" s="965" t="s">
        <v>205</v>
      </c>
      <c r="N154" s="966"/>
      <c r="O154" s="967"/>
      <c r="P154" s="958"/>
      <c r="Q154" s="958"/>
      <c r="R154" s="94"/>
      <c r="S154" s="94"/>
      <c r="T154" s="94"/>
      <c r="U154" s="94"/>
      <c r="V154" s="94"/>
      <c r="W154" s="94"/>
      <c r="X154" s="94"/>
      <c r="Y154" s="94"/>
      <c r="Z154" s="94"/>
      <c r="AA154" s="24"/>
      <c r="AB154" s="24"/>
      <c r="AC154" s="24"/>
      <c r="AD154" s="24"/>
      <c r="AE154" s="24"/>
      <c r="AF154" s="24"/>
      <c r="AG154" s="24"/>
      <c r="AH154" s="24"/>
    </row>
    <row r="155" spans="1:34">
      <c r="A155" s="957"/>
      <c r="B155" s="958">
        <v>134</v>
      </c>
      <c r="C155" s="959" t="s">
        <v>206</v>
      </c>
      <c r="D155" s="958">
        <v>0</v>
      </c>
      <c r="E155" s="958">
        <v>6.9530000000000003</v>
      </c>
      <c r="F155" s="960"/>
      <c r="G155" s="961"/>
      <c r="H155" s="962"/>
      <c r="I155" s="963"/>
      <c r="J155" s="964"/>
      <c r="K155" s="964">
        <v>25</v>
      </c>
      <c r="L155" s="962">
        <v>0</v>
      </c>
      <c r="M155" s="965" t="s">
        <v>383</v>
      </c>
      <c r="N155" s="966">
        <v>68.08</v>
      </c>
      <c r="O155" s="967"/>
      <c r="P155" s="958"/>
      <c r="Q155" s="958"/>
      <c r="R155" s="94"/>
      <c r="S155" s="94"/>
      <c r="T155" s="94"/>
      <c r="U155" s="94"/>
      <c r="V155" s="94"/>
      <c r="W155" s="94"/>
      <c r="X155" s="94"/>
      <c r="Y155" s="94"/>
      <c r="Z155" s="94"/>
      <c r="AA155" s="24"/>
      <c r="AB155" s="24"/>
      <c r="AC155" s="24"/>
      <c r="AD155" s="24"/>
      <c r="AE155" s="24"/>
      <c r="AF155" s="24"/>
      <c r="AG155" s="24"/>
      <c r="AH155" s="24"/>
    </row>
    <row r="156" spans="1:34">
      <c r="A156" s="957"/>
      <c r="B156" s="958">
        <v>135</v>
      </c>
      <c r="C156" s="959" t="s">
        <v>207</v>
      </c>
      <c r="D156" s="958">
        <v>-1</v>
      </c>
      <c r="E156" s="958">
        <v>0.77</v>
      </c>
      <c r="F156" s="960"/>
      <c r="G156" s="961"/>
      <c r="H156" s="962"/>
      <c r="I156" s="963"/>
      <c r="J156" s="964"/>
      <c r="K156" s="964">
        <v>25</v>
      </c>
      <c r="L156" s="962">
        <v>0</v>
      </c>
      <c r="M156" s="965" t="s">
        <v>208</v>
      </c>
      <c r="N156" s="966"/>
      <c r="O156" s="967"/>
      <c r="P156" s="958"/>
      <c r="Q156" s="958"/>
      <c r="R156" s="94"/>
      <c r="S156" s="94"/>
      <c r="T156" s="94"/>
      <c r="U156" s="94"/>
      <c r="V156" s="94"/>
      <c r="W156" s="94"/>
      <c r="X156" s="94"/>
      <c r="Y156" s="94"/>
      <c r="Z156" s="94"/>
      <c r="AA156" s="24"/>
      <c r="AB156" s="24"/>
      <c r="AC156" s="24"/>
      <c r="AD156" s="24"/>
      <c r="AE156" s="24"/>
      <c r="AF156" s="24"/>
      <c r="AG156" s="24"/>
      <c r="AH156" s="24"/>
    </row>
    <row r="157" spans="1:34">
      <c r="A157" s="957"/>
      <c r="B157" s="958">
        <v>136</v>
      </c>
      <c r="C157" s="959" t="s">
        <v>44</v>
      </c>
      <c r="D157" s="958">
        <v>-3</v>
      </c>
      <c r="E157" s="958">
        <v>3.29</v>
      </c>
      <c r="F157" s="960">
        <v>4.71</v>
      </c>
      <c r="G157" s="961">
        <v>6.4</v>
      </c>
      <c r="H157" s="962"/>
      <c r="I157" s="963"/>
      <c r="J157" s="964"/>
      <c r="K157" s="964">
        <v>25</v>
      </c>
      <c r="L157" s="962">
        <v>0</v>
      </c>
      <c r="M157" s="965" t="s">
        <v>43</v>
      </c>
      <c r="N157" s="966"/>
      <c r="O157" s="967"/>
      <c r="P157" s="958"/>
      <c r="Q157" s="958"/>
      <c r="R157" s="94"/>
      <c r="S157" s="94"/>
      <c r="T157" s="94"/>
      <c r="U157" s="94"/>
      <c r="V157" s="94"/>
      <c r="W157" s="94"/>
      <c r="X157" s="94"/>
      <c r="Y157" s="94"/>
      <c r="Z157" s="94"/>
      <c r="AA157" s="24"/>
      <c r="AB157" s="24"/>
      <c r="AC157" s="24"/>
      <c r="AD157" s="24"/>
      <c r="AE157" s="24"/>
      <c r="AF157" s="24"/>
      <c r="AG157" s="24"/>
      <c r="AH157" s="24"/>
    </row>
    <row r="158" spans="1:34">
      <c r="A158" s="957"/>
      <c r="B158" s="958">
        <v>137</v>
      </c>
      <c r="C158" s="959" t="s">
        <v>209</v>
      </c>
      <c r="D158" s="958">
        <v>-1</v>
      </c>
      <c r="E158" s="958">
        <v>2.319</v>
      </c>
      <c r="F158" s="960">
        <v>9.7539999999999996</v>
      </c>
      <c r="G158" s="961"/>
      <c r="H158" s="962"/>
      <c r="I158" s="963"/>
      <c r="J158" s="964"/>
      <c r="K158" s="964">
        <v>25</v>
      </c>
      <c r="L158" s="962">
        <v>0</v>
      </c>
      <c r="M158" s="965" t="s">
        <v>53</v>
      </c>
      <c r="N158" s="966">
        <v>131.18</v>
      </c>
      <c r="O158" s="967"/>
      <c r="P158" s="958"/>
      <c r="Q158" s="958"/>
      <c r="R158" s="94"/>
      <c r="S158" s="94"/>
      <c r="T158" s="94"/>
      <c r="U158" s="94"/>
      <c r="V158" s="94"/>
      <c r="W158" s="94"/>
      <c r="X158" s="94"/>
      <c r="Y158" s="94"/>
      <c r="Z158" s="94"/>
      <c r="AA158" s="24"/>
      <c r="AB158" s="24"/>
      <c r="AC158" s="24"/>
      <c r="AD158" s="24"/>
      <c r="AE158" s="24"/>
      <c r="AF158" s="24"/>
      <c r="AG158" s="24"/>
      <c r="AH158" s="24"/>
    </row>
    <row r="159" spans="1:34">
      <c r="A159" s="957"/>
      <c r="B159" s="958">
        <v>138</v>
      </c>
      <c r="C159" s="959" t="s">
        <v>210</v>
      </c>
      <c r="D159" s="958">
        <v>-1</v>
      </c>
      <c r="E159" s="958">
        <v>3.86</v>
      </c>
      <c r="F159" s="960"/>
      <c r="G159" s="961"/>
      <c r="H159" s="962"/>
      <c r="I159" s="963"/>
      <c r="J159" s="964"/>
      <c r="K159" s="964"/>
      <c r="L159" s="962"/>
      <c r="M159" s="965" t="s">
        <v>357</v>
      </c>
      <c r="N159" s="966"/>
      <c r="O159" s="967"/>
      <c r="P159" s="958"/>
      <c r="Q159" s="958"/>
      <c r="R159" s="94"/>
      <c r="S159" s="94"/>
      <c r="T159" s="94"/>
      <c r="U159" s="94"/>
      <c r="V159" s="94"/>
      <c r="W159" s="94"/>
      <c r="X159" s="94"/>
      <c r="Y159" s="94"/>
      <c r="Z159" s="94"/>
      <c r="AA159" s="24"/>
      <c r="AB159" s="24"/>
      <c r="AC159" s="24"/>
      <c r="AD159" s="24"/>
      <c r="AE159" s="24"/>
      <c r="AF159" s="24"/>
      <c r="AG159" s="24"/>
      <c r="AH159" s="24"/>
    </row>
    <row r="160" spans="1:34">
      <c r="A160" s="957"/>
      <c r="B160" s="958">
        <v>139</v>
      </c>
      <c r="C160" s="959" t="s">
        <v>279</v>
      </c>
      <c r="D160" s="958">
        <v>0</v>
      </c>
      <c r="E160" s="958">
        <v>9.9580000000000002</v>
      </c>
      <c r="F160" s="960"/>
      <c r="G160" s="961"/>
      <c r="H160" s="962"/>
      <c r="I160" s="963"/>
      <c r="J160" s="964"/>
      <c r="K160" s="964">
        <v>10</v>
      </c>
      <c r="L160" s="962">
        <v>0</v>
      </c>
      <c r="M160" s="965" t="s">
        <v>277</v>
      </c>
      <c r="N160" s="966">
        <v>165.23</v>
      </c>
      <c r="O160" s="967"/>
      <c r="P160" s="958"/>
      <c r="Q160" s="958"/>
      <c r="R160" s="94"/>
      <c r="S160" s="94"/>
      <c r="T160" s="94"/>
      <c r="U160" s="94"/>
      <c r="V160" s="94"/>
      <c r="W160" s="94"/>
      <c r="X160" s="94"/>
      <c r="Y160" s="94"/>
      <c r="Z160" s="94"/>
      <c r="AA160" s="24"/>
      <c r="AB160" s="24"/>
      <c r="AC160" s="24"/>
      <c r="AD160" s="24"/>
      <c r="AE160" s="24"/>
      <c r="AF160" s="24"/>
      <c r="AG160" s="24"/>
      <c r="AH160" s="24"/>
    </row>
    <row r="161" spans="1:34">
      <c r="A161" s="957"/>
      <c r="B161" s="958">
        <v>140</v>
      </c>
      <c r="C161" s="959" t="s">
        <v>211</v>
      </c>
      <c r="D161" s="958">
        <v>-1</v>
      </c>
      <c r="E161" s="958">
        <v>2.3279999999999998</v>
      </c>
      <c r="F161" s="960">
        <v>9.7439999999999998</v>
      </c>
      <c r="G161" s="961"/>
      <c r="H161" s="962"/>
      <c r="I161" s="963"/>
      <c r="J161" s="964"/>
      <c r="K161" s="964">
        <v>25</v>
      </c>
      <c r="L161" s="962">
        <v>0</v>
      </c>
      <c r="M161" s="965" t="s">
        <v>53</v>
      </c>
      <c r="N161" s="966"/>
      <c r="O161" s="967"/>
      <c r="P161" s="958"/>
      <c r="Q161" s="958"/>
      <c r="R161" s="94"/>
      <c r="S161" s="94"/>
      <c r="T161" s="94"/>
      <c r="U161" s="94"/>
      <c r="V161" s="94"/>
      <c r="W161" s="94"/>
      <c r="X161" s="94"/>
      <c r="Y161" s="94"/>
      <c r="Z161" s="94"/>
      <c r="AA161" s="24"/>
      <c r="AB161" s="24"/>
      <c r="AC161" s="24"/>
      <c r="AD161" s="24"/>
      <c r="AE161" s="24"/>
      <c r="AF161" s="24"/>
      <c r="AG161" s="24"/>
      <c r="AH161" s="24"/>
    </row>
    <row r="162" spans="1:34">
      <c r="A162" s="957"/>
      <c r="B162" s="958">
        <v>141</v>
      </c>
      <c r="C162" s="959" t="s">
        <v>56</v>
      </c>
      <c r="D162" s="958">
        <v>-1</v>
      </c>
      <c r="E162" s="958">
        <v>1.83</v>
      </c>
      <c r="F162" s="960">
        <v>9.08</v>
      </c>
      <c r="G162" s="961">
        <v>10.9</v>
      </c>
      <c r="H162" s="962"/>
      <c r="I162" s="963"/>
      <c r="J162" s="964"/>
      <c r="K162" s="964">
        <v>25</v>
      </c>
      <c r="L162" s="949">
        <v>0</v>
      </c>
      <c r="M162" s="965" t="s">
        <v>55</v>
      </c>
      <c r="N162" s="966"/>
      <c r="O162" s="967"/>
      <c r="P162" s="958"/>
      <c r="Q162" s="958"/>
      <c r="R162" s="94"/>
      <c r="S162" s="94"/>
      <c r="T162" s="94"/>
      <c r="U162" s="94"/>
      <c r="V162" s="94"/>
      <c r="W162" s="94"/>
      <c r="X162" s="94"/>
      <c r="Y162" s="94"/>
      <c r="Z162" s="94"/>
      <c r="AA162" s="24"/>
      <c r="AB162" s="24"/>
      <c r="AC162" s="24"/>
      <c r="AD162" s="24"/>
      <c r="AE162" s="24"/>
      <c r="AF162" s="24"/>
      <c r="AG162" s="24"/>
      <c r="AH162" s="24"/>
    </row>
    <row r="163" spans="1:34">
      <c r="A163" s="957"/>
      <c r="B163" s="958">
        <v>142</v>
      </c>
      <c r="C163" s="959" t="s">
        <v>402</v>
      </c>
      <c r="D163" s="958">
        <v>-2</v>
      </c>
      <c r="E163" s="958">
        <v>1.91</v>
      </c>
      <c r="F163" s="960">
        <v>6.3319999999999999</v>
      </c>
      <c r="G163" s="961"/>
      <c r="H163" s="962"/>
      <c r="I163" s="963"/>
      <c r="J163" s="964"/>
      <c r="K163" s="964">
        <v>25</v>
      </c>
      <c r="L163" s="962">
        <v>0</v>
      </c>
      <c r="M163" s="965" t="s">
        <v>401</v>
      </c>
      <c r="N163" s="966"/>
      <c r="O163" s="967"/>
      <c r="P163" s="958"/>
      <c r="Q163" s="958"/>
      <c r="R163" s="94"/>
      <c r="S163" s="94"/>
      <c r="T163" s="94"/>
      <c r="U163" s="94"/>
      <c r="V163" s="94"/>
      <c r="W163" s="94"/>
      <c r="X163" s="94"/>
      <c r="Y163" s="94"/>
      <c r="Z163" s="94"/>
      <c r="AA163" s="24"/>
      <c r="AB163" s="24"/>
      <c r="AC163" s="24"/>
      <c r="AD163" s="24"/>
      <c r="AE163" s="24"/>
      <c r="AF163" s="24"/>
      <c r="AG163" s="24"/>
      <c r="AH163" s="24"/>
    </row>
    <row r="164" spans="1:34">
      <c r="A164" s="957"/>
      <c r="B164" s="958">
        <v>143</v>
      </c>
      <c r="C164" s="959" t="s">
        <v>411</v>
      </c>
      <c r="D164" s="958">
        <v>-2</v>
      </c>
      <c r="E164" s="958">
        <v>3.4590000000000001</v>
      </c>
      <c r="F164" s="960">
        <v>5.0970000000000004</v>
      </c>
      <c r="G164" s="961"/>
      <c r="H164" s="962"/>
      <c r="I164" s="963"/>
      <c r="J164" s="964"/>
      <c r="K164" s="964">
        <v>25</v>
      </c>
      <c r="L164" s="962">
        <v>0</v>
      </c>
      <c r="M164" s="965" t="s">
        <v>410</v>
      </c>
      <c r="N164" s="966"/>
      <c r="O164" s="967"/>
      <c r="P164" s="958"/>
      <c r="Q164" s="958"/>
      <c r="R164" s="94"/>
      <c r="S164" s="94"/>
      <c r="T164" s="94"/>
      <c r="U164" s="94"/>
      <c r="V164" s="94"/>
      <c r="W164" s="94"/>
      <c r="X164" s="94"/>
      <c r="Y164" s="94"/>
      <c r="Z164" s="94"/>
      <c r="AA164" s="24"/>
      <c r="AB164" s="24"/>
      <c r="AC164" s="24"/>
      <c r="AD164" s="24"/>
      <c r="AE164" s="24"/>
      <c r="AF164" s="24"/>
      <c r="AG164" s="24"/>
      <c r="AH164" s="24"/>
    </row>
    <row r="165" spans="1:34">
      <c r="A165" s="957"/>
      <c r="B165" s="958">
        <v>144</v>
      </c>
      <c r="C165" s="959" t="s">
        <v>212</v>
      </c>
      <c r="D165" s="958">
        <v>-2</v>
      </c>
      <c r="E165" s="958">
        <v>2.847</v>
      </c>
      <c r="F165" s="960">
        <v>5.6959999999999997</v>
      </c>
      <c r="G165" s="961"/>
      <c r="H165" s="962"/>
      <c r="I165" s="963"/>
      <c r="J165" s="964"/>
      <c r="K165" s="964">
        <v>25</v>
      </c>
      <c r="L165" s="962">
        <v>0</v>
      </c>
      <c r="M165" s="965" t="s">
        <v>213</v>
      </c>
      <c r="N165" s="966"/>
      <c r="O165" s="967"/>
      <c r="P165" s="958"/>
      <c r="Q165" s="958"/>
      <c r="R165" s="94"/>
      <c r="S165" s="94"/>
      <c r="T165" s="94"/>
      <c r="U165" s="94"/>
      <c r="V165" s="94"/>
      <c r="W165" s="94"/>
      <c r="X165" s="94"/>
      <c r="Y165" s="94"/>
      <c r="Z165" s="94"/>
      <c r="AA165" s="24"/>
      <c r="AB165" s="24"/>
      <c r="AC165" s="24"/>
      <c r="AD165" s="24"/>
      <c r="AE165" s="24"/>
      <c r="AF165" s="24"/>
      <c r="AG165" s="24"/>
      <c r="AH165" s="24"/>
    </row>
    <row r="166" spans="1:34">
      <c r="A166" s="957"/>
      <c r="B166" s="958">
        <v>145</v>
      </c>
      <c r="C166" s="959" t="s">
        <v>566</v>
      </c>
      <c r="D166" s="958">
        <v>0</v>
      </c>
      <c r="E166" s="958">
        <v>5</v>
      </c>
      <c r="F166" s="960"/>
      <c r="G166" s="961"/>
      <c r="H166" s="962"/>
      <c r="I166" s="963"/>
      <c r="J166" s="964"/>
      <c r="K166" s="964">
        <v>25</v>
      </c>
      <c r="L166" s="962">
        <v>0</v>
      </c>
      <c r="M166" s="965" t="s">
        <v>388</v>
      </c>
      <c r="N166" s="966"/>
      <c r="O166" s="967"/>
      <c r="P166" s="958"/>
      <c r="Q166" s="958"/>
      <c r="R166" s="94"/>
      <c r="S166" s="94"/>
      <c r="T166" s="94"/>
      <c r="U166" s="94"/>
      <c r="V166" s="94"/>
      <c r="W166" s="94"/>
      <c r="X166" s="94"/>
      <c r="Y166" s="94"/>
      <c r="Z166" s="94"/>
      <c r="AA166" s="24"/>
      <c r="AB166" s="24"/>
      <c r="AC166" s="24"/>
      <c r="AD166" s="24"/>
      <c r="AE166" s="24"/>
      <c r="AF166" s="24"/>
      <c r="AG166" s="24"/>
      <c r="AH166" s="24"/>
    </row>
    <row r="167" spans="1:34">
      <c r="A167" s="957"/>
      <c r="B167" s="958">
        <v>146</v>
      </c>
      <c r="C167" s="959" t="s">
        <v>567</v>
      </c>
      <c r="D167" s="958">
        <v>-1</v>
      </c>
      <c r="E167" s="958">
        <v>2.13</v>
      </c>
      <c r="F167" s="960">
        <v>9.27</v>
      </c>
      <c r="G167" s="961"/>
      <c r="H167" s="962"/>
      <c r="I167" s="963"/>
      <c r="J167" s="964"/>
      <c r="K167" s="964">
        <v>25</v>
      </c>
      <c r="L167" s="962">
        <v>0</v>
      </c>
      <c r="M167" s="965" t="s">
        <v>456</v>
      </c>
      <c r="N167" s="966"/>
      <c r="O167" s="967"/>
      <c r="P167" s="958"/>
      <c r="Q167" s="958"/>
      <c r="R167" s="94"/>
      <c r="S167" s="94"/>
      <c r="T167" s="94"/>
      <c r="U167" s="94"/>
      <c r="V167" s="94"/>
      <c r="W167" s="94"/>
      <c r="X167" s="94"/>
      <c r="Y167" s="94"/>
      <c r="Z167" s="94"/>
      <c r="AA167" s="24"/>
      <c r="AB167" s="24"/>
      <c r="AC167" s="24"/>
      <c r="AD167" s="24"/>
      <c r="AE167" s="24"/>
      <c r="AF167" s="24"/>
      <c r="AG167" s="24"/>
      <c r="AH167" s="24"/>
    </row>
    <row r="168" spans="1:34">
      <c r="A168" s="957"/>
      <c r="B168" s="958">
        <v>147</v>
      </c>
      <c r="C168" s="959" t="s">
        <v>365</v>
      </c>
      <c r="D168" s="958">
        <v>0</v>
      </c>
      <c r="E168" s="958">
        <v>10.63</v>
      </c>
      <c r="F168" s="960"/>
      <c r="G168" s="961"/>
      <c r="H168" s="962"/>
      <c r="I168" s="963"/>
      <c r="J168" s="964"/>
      <c r="K168" s="964">
        <v>25</v>
      </c>
      <c r="L168" s="962">
        <v>0</v>
      </c>
      <c r="M168" s="965" t="s">
        <v>370</v>
      </c>
      <c r="N168" s="966">
        <v>31.1</v>
      </c>
      <c r="O168" s="967"/>
      <c r="P168" s="958"/>
      <c r="Q168" s="958"/>
      <c r="R168" s="94"/>
      <c r="S168" s="94"/>
      <c r="T168" s="94"/>
      <c r="U168" s="94"/>
      <c r="V168" s="94"/>
      <c r="W168" s="94"/>
      <c r="X168" s="94"/>
      <c r="Y168" s="94"/>
      <c r="Z168" s="94"/>
      <c r="AA168" s="24"/>
      <c r="AB168" s="24"/>
      <c r="AC168" s="24"/>
      <c r="AD168" s="24"/>
      <c r="AE168" s="24"/>
      <c r="AF168" s="24"/>
      <c r="AG168" s="24"/>
      <c r="AH168" s="24"/>
    </row>
    <row r="169" spans="1:34">
      <c r="A169" s="957"/>
      <c r="B169" s="958">
        <v>148</v>
      </c>
      <c r="C169" s="959" t="s">
        <v>568</v>
      </c>
      <c r="D169" s="958">
        <v>0</v>
      </c>
      <c r="E169" s="958">
        <v>4.4470000000000001</v>
      </c>
      <c r="F169" s="960"/>
      <c r="G169" s="961"/>
      <c r="H169" s="962"/>
      <c r="I169" s="963"/>
      <c r="J169" s="964"/>
      <c r="K169" s="964">
        <v>25</v>
      </c>
      <c r="L169" s="962">
        <v>0</v>
      </c>
      <c r="M169" s="965" t="s">
        <v>569</v>
      </c>
      <c r="N169" s="966" t="s">
        <v>570</v>
      </c>
      <c r="O169" s="967"/>
      <c r="P169" s="958"/>
      <c r="Q169" s="958"/>
      <c r="R169" s="94"/>
      <c r="S169" s="94"/>
      <c r="T169" s="94"/>
      <c r="U169" s="94"/>
      <c r="V169" s="94"/>
      <c r="W169" s="94"/>
      <c r="X169" s="94"/>
      <c r="Y169" s="94"/>
      <c r="Z169" s="94"/>
      <c r="AA169" s="24"/>
      <c r="AB169" s="24"/>
      <c r="AC169" s="24"/>
      <c r="AD169" s="24"/>
      <c r="AE169" s="24"/>
      <c r="AF169" s="24"/>
      <c r="AG169" s="24"/>
      <c r="AH169" s="24"/>
    </row>
    <row r="170" spans="1:34">
      <c r="A170" s="957"/>
      <c r="B170" s="958">
        <v>149</v>
      </c>
      <c r="C170" s="959" t="s">
        <v>571</v>
      </c>
      <c r="D170" s="958">
        <v>0</v>
      </c>
      <c r="E170" s="958">
        <v>5.0839999999999996</v>
      </c>
      <c r="F170" s="960"/>
      <c r="G170" s="961"/>
      <c r="H170" s="962"/>
      <c r="I170" s="963"/>
      <c r="J170" s="964"/>
      <c r="K170" s="964">
        <v>25</v>
      </c>
      <c r="L170" s="962">
        <v>0</v>
      </c>
      <c r="M170" s="965" t="s">
        <v>569</v>
      </c>
      <c r="N170" s="966" t="s">
        <v>570</v>
      </c>
      <c r="O170" s="967"/>
      <c r="P170" s="958"/>
      <c r="Q170" s="958"/>
      <c r="R170" s="94"/>
      <c r="S170" s="94"/>
      <c r="T170" s="94"/>
      <c r="U170" s="94"/>
      <c r="V170" s="94"/>
      <c r="W170" s="94"/>
      <c r="X170" s="94"/>
      <c r="Y170" s="94"/>
      <c r="Z170" s="94"/>
      <c r="AA170" s="24"/>
      <c r="AB170" s="24"/>
      <c r="AC170" s="24"/>
      <c r="AD170" s="24"/>
      <c r="AE170" s="24"/>
      <c r="AF170" s="24"/>
      <c r="AG170" s="24"/>
      <c r="AH170" s="24"/>
    </row>
    <row r="171" spans="1:34">
      <c r="A171" s="957"/>
      <c r="B171" s="958">
        <v>150</v>
      </c>
      <c r="C171" s="959" t="s">
        <v>98</v>
      </c>
      <c r="D171" s="958">
        <v>0</v>
      </c>
      <c r="E171" s="958">
        <v>6.19</v>
      </c>
      <c r="F171" s="960"/>
      <c r="G171" s="961"/>
      <c r="H171" s="962"/>
      <c r="I171" s="963"/>
      <c r="J171" s="964"/>
      <c r="K171" s="964">
        <v>25</v>
      </c>
      <c r="L171" s="962">
        <v>0</v>
      </c>
      <c r="M171" s="965" t="s">
        <v>97</v>
      </c>
      <c r="N171" s="966"/>
      <c r="O171" s="967"/>
      <c r="P171" s="958"/>
      <c r="Q171" s="958"/>
      <c r="R171" s="94"/>
      <c r="S171" s="94"/>
      <c r="T171" s="94"/>
      <c r="U171" s="94"/>
      <c r="V171" s="94"/>
      <c r="W171" s="94"/>
      <c r="X171" s="94"/>
      <c r="Y171" s="94"/>
      <c r="Z171" s="94"/>
      <c r="AA171" s="24"/>
      <c r="AB171" s="24"/>
      <c r="AC171" s="24"/>
      <c r="AD171" s="24"/>
      <c r="AE171" s="24"/>
      <c r="AF171" s="24"/>
      <c r="AG171" s="24"/>
      <c r="AH171" s="24"/>
    </row>
    <row r="172" spans="1:34">
      <c r="A172" s="957"/>
      <c r="B172" s="958">
        <v>151</v>
      </c>
      <c r="C172" s="959" t="s">
        <v>448</v>
      </c>
      <c r="D172" s="958">
        <v>-1</v>
      </c>
      <c r="E172" s="958">
        <v>4.8</v>
      </c>
      <c r="F172" s="960"/>
      <c r="G172" s="961"/>
      <c r="H172" s="962"/>
      <c r="I172" s="963"/>
      <c r="J172" s="964"/>
      <c r="K172" s="964">
        <v>25</v>
      </c>
      <c r="L172" s="962">
        <v>0</v>
      </c>
      <c r="M172" s="965" t="s">
        <v>447</v>
      </c>
      <c r="N172" s="966"/>
      <c r="O172" s="967"/>
      <c r="P172" s="958"/>
      <c r="Q172" s="958"/>
      <c r="R172" s="94"/>
      <c r="S172" s="94"/>
      <c r="T172" s="94"/>
      <c r="U172" s="94"/>
      <c r="V172" s="94"/>
      <c r="W172" s="94"/>
      <c r="X172" s="94"/>
      <c r="Y172" s="94"/>
      <c r="Z172" s="94"/>
      <c r="AA172" s="24"/>
      <c r="AB172" s="24"/>
      <c r="AC172" s="24"/>
      <c r="AD172" s="24"/>
      <c r="AE172" s="24"/>
      <c r="AF172" s="24"/>
      <c r="AG172" s="24"/>
      <c r="AH172" s="24"/>
    </row>
    <row r="173" spans="1:34">
      <c r="A173" s="957"/>
      <c r="B173" s="958">
        <v>152</v>
      </c>
      <c r="C173" s="959" t="s">
        <v>449</v>
      </c>
      <c r="D173" s="958">
        <v>-1</v>
      </c>
      <c r="E173" s="958">
        <v>4.7699999999999996</v>
      </c>
      <c r="F173" s="960"/>
      <c r="G173" s="961"/>
      <c r="H173" s="962"/>
      <c r="I173" s="963"/>
      <c r="J173" s="964"/>
      <c r="K173" s="964">
        <v>25</v>
      </c>
      <c r="L173" s="962">
        <v>0</v>
      </c>
      <c r="M173" s="965" t="s">
        <v>447</v>
      </c>
      <c r="N173" s="966"/>
      <c r="O173" s="967"/>
      <c r="P173" s="958"/>
      <c r="Q173" s="958"/>
      <c r="R173" s="94"/>
      <c r="S173" s="94"/>
      <c r="T173" s="94"/>
      <c r="U173" s="94"/>
      <c r="V173" s="94"/>
      <c r="W173" s="94"/>
      <c r="X173" s="94"/>
      <c r="Y173" s="94"/>
      <c r="Z173" s="94"/>
      <c r="AA173" s="24"/>
      <c r="AB173" s="24"/>
      <c r="AC173" s="24"/>
      <c r="AD173" s="24"/>
      <c r="AE173" s="24"/>
      <c r="AF173" s="24"/>
      <c r="AG173" s="24"/>
      <c r="AH173" s="24"/>
    </row>
    <row r="174" spans="1:34">
      <c r="A174" s="957"/>
      <c r="B174" s="958">
        <v>153</v>
      </c>
      <c r="C174" s="959" t="s">
        <v>214</v>
      </c>
      <c r="D174" s="958">
        <v>-2</v>
      </c>
      <c r="E174" s="958">
        <v>3.07</v>
      </c>
      <c r="F174" s="960">
        <v>5.76</v>
      </c>
      <c r="G174" s="961"/>
      <c r="H174" s="962"/>
      <c r="I174" s="963"/>
      <c r="J174" s="964"/>
      <c r="K174" s="964">
        <v>25</v>
      </c>
      <c r="L174" s="962">
        <v>0</v>
      </c>
      <c r="M174" s="965" t="s">
        <v>409</v>
      </c>
      <c r="N174" s="966"/>
      <c r="O174" s="967"/>
      <c r="P174" s="958"/>
      <c r="Q174" s="958"/>
      <c r="R174" s="94"/>
      <c r="S174" s="94"/>
      <c r="T174" s="94"/>
      <c r="U174" s="94"/>
      <c r="V174" s="94"/>
      <c r="W174" s="94"/>
      <c r="X174" s="94"/>
      <c r="Y174" s="94"/>
      <c r="Z174" s="94"/>
      <c r="AA174" s="24"/>
      <c r="AB174" s="24"/>
      <c r="AC174" s="24"/>
      <c r="AD174" s="24"/>
      <c r="AE174" s="24"/>
      <c r="AF174" s="24"/>
      <c r="AG174" s="24"/>
      <c r="AH174" s="24"/>
    </row>
    <row r="175" spans="1:34">
      <c r="A175" s="957"/>
      <c r="B175" s="958">
        <v>154</v>
      </c>
      <c r="C175" s="959" t="s">
        <v>284</v>
      </c>
      <c r="D175" s="958">
        <v>0</v>
      </c>
      <c r="E175" s="958">
        <v>3.67</v>
      </c>
      <c r="F175" s="960"/>
      <c r="G175" s="961"/>
      <c r="H175" s="962"/>
      <c r="I175" s="963"/>
      <c r="J175" s="964"/>
      <c r="K175" s="964">
        <v>27</v>
      </c>
      <c r="L175" s="962">
        <v>0</v>
      </c>
      <c r="M175" s="965" t="s">
        <v>283</v>
      </c>
      <c r="N175" s="966"/>
      <c r="O175" s="967"/>
      <c r="P175" s="958"/>
      <c r="Q175" s="958"/>
      <c r="R175" s="94"/>
      <c r="S175" s="94"/>
      <c r="T175" s="94"/>
      <c r="U175" s="94"/>
      <c r="V175" s="94"/>
      <c r="W175" s="94"/>
      <c r="X175" s="94"/>
      <c r="Y175" s="94"/>
      <c r="Z175" s="94"/>
      <c r="AA175" s="24"/>
      <c r="AB175" s="24"/>
      <c r="AC175" s="24"/>
      <c r="AD175" s="24"/>
      <c r="AE175" s="24"/>
      <c r="AF175" s="24"/>
      <c r="AG175" s="24"/>
      <c r="AH175" s="24"/>
    </row>
    <row r="176" spans="1:34">
      <c r="A176" s="957"/>
      <c r="B176" s="958">
        <v>155</v>
      </c>
      <c r="C176" s="959" t="s">
        <v>50</v>
      </c>
      <c r="D176" s="958">
        <v>-1</v>
      </c>
      <c r="E176" s="958">
        <v>4.84</v>
      </c>
      <c r="F176" s="960"/>
      <c r="G176" s="961"/>
      <c r="H176" s="962"/>
      <c r="I176" s="963"/>
      <c r="J176" s="964"/>
      <c r="K176" s="964">
        <v>18</v>
      </c>
      <c r="L176" s="962">
        <v>0</v>
      </c>
      <c r="M176" s="965" t="s">
        <v>48</v>
      </c>
      <c r="N176" s="966"/>
      <c r="O176" s="967"/>
      <c r="P176" s="958"/>
      <c r="Q176" s="958"/>
      <c r="R176" s="94"/>
      <c r="S176" s="94"/>
      <c r="T176" s="94"/>
      <c r="U176" s="94"/>
      <c r="V176" s="94"/>
      <c r="W176" s="94"/>
      <c r="X176" s="94"/>
      <c r="Y176" s="94"/>
      <c r="Z176" s="94"/>
      <c r="AA176" s="24"/>
      <c r="AB176" s="24"/>
      <c r="AC176" s="24"/>
      <c r="AD176" s="24"/>
      <c r="AE176" s="24"/>
      <c r="AF176" s="24"/>
      <c r="AG176" s="24"/>
      <c r="AH176" s="24"/>
    </row>
    <row r="177" spans="1:34">
      <c r="A177" s="957"/>
      <c r="B177" s="958">
        <v>156</v>
      </c>
      <c r="C177" s="959" t="s">
        <v>52</v>
      </c>
      <c r="D177" s="958">
        <v>0</v>
      </c>
      <c r="E177" s="958">
        <v>10.08</v>
      </c>
      <c r="F177" s="960"/>
      <c r="G177" s="961"/>
      <c r="H177" s="962"/>
      <c r="I177" s="963"/>
      <c r="J177" s="964"/>
      <c r="K177" s="964">
        <v>25</v>
      </c>
      <c r="L177" s="962">
        <v>0</v>
      </c>
      <c r="M177" s="965" t="s">
        <v>51</v>
      </c>
      <c r="N177" s="966"/>
      <c r="O177" s="967"/>
      <c r="P177" s="958"/>
      <c r="Q177" s="958"/>
      <c r="R177" s="94"/>
      <c r="S177" s="94"/>
      <c r="T177" s="94"/>
      <c r="U177" s="94"/>
      <c r="V177" s="94"/>
      <c r="W177" s="94"/>
      <c r="X177" s="94"/>
      <c r="Y177" s="94"/>
      <c r="Z177" s="94"/>
      <c r="AA177" s="24"/>
      <c r="AB177" s="24"/>
      <c r="AC177" s="24"/>
      <c r="AD177" s="24"/>
      <c r="AE177" s="24"/>
      <c r="AF177" s="24"/>
      <c r="AG177" s="24"/>
      <c r="AH177" s="24"/>
    </row>
    <row r="178" spans="1:34">
      <c r="A178" s="957"/>
      <c r="B178" s="958">
        <v>157</v>
      </c>
      <c r="C178" s="959" t="s">
        <v>572</v>
      </c>
      <c r="D178" s="958">
        <v>-1</v>
      </c>
      <c r="E178" s="958">
        <v>10.28</v>
      </c>
      <c r="F178" s="960"/>
      <c r="G178" s="961"/>
      <c r="H178" s="962"/>
      <c r="I178" s="963"/>
      <c r="J178" s="964"/>
      <c r="K178" s="964">
        <v>25</v>
      </c>
      <c r="L178" s="962">
        <v>0</v>
      </c>
      <c r="M178" s="965" t="s">
        <v>81</v>
      </c>
      <c r="N178" s="966" t="s">
        <v>573</v>
      </c>
      <c r="O178" s="967"/>
      <c r="P178" s="958"/>
      <c r="Q178" s="958"/>
      <c r="R178" s="94"/>
      <c r="S178" s="94"/>
      <c r="T178" s="94"/>
      <c r="U178" s="94"/>
      <c r="V178" s="94"/>
      <c r="W178" s="94"/>
      <c r="X178" s="94"/>
      <c r="Y178" s="94"/>
      <c r="Z178" s="94"/>
      <c r="AA178" s="24"/>
      <c r="AB178" s="24"/>
      <c r="AC178" s="24"/>
      <c r="AD178" s="24"/>
      <c r="AE178" s="24"/>
      <c r="AF178" s="24"/>
      <c r="AG178" s="24"/>
      <c r="AH178" s="24"/>
    </row>
    <row r="179" spans="1:34">
      <c r="A179" s="957"/>
      <c r="B179" s="958">
        <v>158</v>
      </c>
      <c r="C179" s="959" t="s">
        <v>574</v>
      </c>
      <c r="D179" s="958">
        <v>-1</v>
      </c>
      <c r="E179" s="958">
        <v>10.26</v>
      </c>
      <c r="F179" s="960"/>
      <c r="G179" s="961"/>
      <c r="H179" s="962"/>
      <c r="I179" s="963"/>
      <c r="J179" s="964"/>
      <c r="K179" s="964">
        <v>25</v>
      </c>
      <c r="L179" s="962">
        <v>0</v>
      </c>
      <c r="M179" s="965" t="s">
        <v>81</v>
      </c>
      <c r="N179" s="966" t="s">
        <v>573</v>
      </c>
      <c r="O179" s="967"/>
      <c r="P179" s="958"/>
      <c r="Q179" s="958"/>
      <c r="R179" s="94"/>
      <c r="S179" s="94"/>
      <c r="T179" s="94"/>
      <c r="U179" s="94"/>
      <c r="V179" s="94"/>
      <c r="W179" s="94"/>
      <c r="X179" s="94"/>
      <c r="Y179" s="94"/>
      <c r="Z179" s="94"/>
      <c r="AA179" s="24"/>
      <c r="AB179" s="24"/>
      <c r="AC179" s="24"/>
      <c r="AD179" s="24"/>
      <c r="AE179" s="24"/>
      <c r="AF179" s="24"/>
      <c r="AG179" s="24"/>
      <c r="AH179" s="24"/>
    </row>
    <row r="180" spans="1:34">
      <c r="A180" s="957"/>
      <c r="B180" s="958">
        <v>159</v>
      </c>
      <c r="C180" s="959" t="s">
        <v>38</v>
      </c>
      <c r="D180" s="958">
        <v>0</v>
      </c>
      <c r="E180" s="958">
        <v>5.97</v>
      </c>
      <c r="F180" s="960"/>
      <c r="G180" s="961"/>
      <c r="H180" s="962"/>
      <c r="I180" s="963"/>
      <c r="J180" s="964"/>
      <c r="K180" s="964">
        <v>20</v>
      </c>
      <c r="L180" s="962">
        <v>0</v>
      </c>
      <c r="M180" s="965" t="s">
        <v>37</v>
      </c>
      <c r="N180" s="966"/>
      <c r="O180" s="967"/>
      <c r="P180" s="958"/>
      <c r="Q180" s="958"/>
      <c r="R180" s="94"/>
      <c r="S180" s="94"/>
      <c r="T180" s="94"/>
      <c r="U180" s="94"/>
      <c r="V180" s="94"/>
      <c r="W180" s="94"/>
      <c r="X180" s="94"/>
      <c r="Y180" s="94"/>
      <c r="Z180" s="94"/>
      <c r="AA180" s="24"/>
      <c r="AB180" s="24"/>
      <c r="AC180" s="24"/>
      <c r="AD180" s="24"/>
      <c r="AE180" s="24"/>
      <c r="AF180" s="24"/>
      <c r="AG180" s="24"/>
      <c r="AH180" s="24"/>
    </row>
    <row r="181" spans="1:34">
      <c r="A181" s="957"/>
      <c r="B181" s="958">
        <v>160</v>
      </c>
      <c r="C181" s="959" t="s">
        <v>39</v>
      </c>
      <c r="D181" s="958">
        <v>0</v>
      </c>
      <c r="E181" s="958">
        <v>5.68</v>
      </c>
      <c r="F181" s="960"/>
      <c r="G181" s="961"/>
      <c r="H181" s="962"/>
      <c r="I181" s="963"/>
      <c r="J181" s="964"/>
      <c r="K181" s="964">
        <v>20</v>
      </c>
      <c r="L181" s="962">
        <v>0</v>
      </c>
      <c r="M181" s="965" t="s">
        <v>37</v>
      </c>
      <c r="N181" s="966"/>
      <c r="O181" s="967"/>
      <c r="P181" s="958"/>
      <c r="Q181" s="958"/>
      <c r="R181" s="94"/>
      <c r="S181" s="94"/>
      <c r="T181" s="94"/>
      <c r="U181" s="94"/>
      <c r="V181" s="94"/>
      <c r="W181" s="94"/>
      <c r="X181" s="94"/>
      <c r="Y181" s="94"/>
      <c r="Z181" s="94"/>
      <c r="AA181" s="24"/>
      <c r="AB181" s="24"/>
      <c r="AC181" s="24"/>
      <c r="AD181" s="24"/>
      <c r="AE181" s="24"/>
      <c r="AF181" s="24"/>
      <c r="AG181" s="24"/>
      <c r="AH181" s="24"/>
    </row>
    <row r="182" spans="1:34">
      <c r="A182" s="957"/>
      <c r="B182" s="958">
        <v>161</v>
      </c>
      <c r="C182" s="959" t="s">
        <v>40</v>
      </c>
      <c r="D182" s="958">
        <v>0</v>
      </c>
      <c r="E182" s="958">
        <v>6.02</v>
      </c>
      <c r="F182" s="960"/>
      <c r="G182" s="961"/>
      <c r="H182" s="962"/>
      <c r="I182" s="963"/>
      <c r="J182" s="964"/>
      <c r="K182" s="964">
        <v>20</v>
      </c>
      <c r="L182" s="962">
        <v>0</v>
      </c>
      <c r="M182" s="965" t="s">
        <v>37</v>
      </c>
      <c r="N182" s="966"/>
      <c r="O182" s="967"/>
      <c r="P182" s="958"/>
      <c r="Q182" s="958"/>
      <c r="R182" s="94"/>
      <c r="S182" s="94"/>
      <c r="T182" s="94"/>
      <c r="U182" s="94"/>
      <c r="V182" s="94"/>
      <c r="W182" s="94"/>
      <c r="X182" s="94"/>
      <c r="Y182" s="94"/>
      <c r="Z182" s="94"/>
      <c r="AA182" s="24"/>
      <c r="AB182" s="24"/>
      <c r="AC182" s="24"/>
      <c r="AD182" s="24"/>
      <c r="AE182" s="24"/>
      <c r="AF182" s="24"/>
      <c r="AG182" s="24"/>
      <c r="AH182" s="24"/>
    </row>
    <row r="183" spans="1:34">
      <c r="A183" s="957"/>
      <c r="B183" s="958">
        <v>162</v>
      </c>
      <c r="C183" s="959" t="s">
        <v>294</v>
      </c>
      <c r="D183" s="958">
        <v>0</v>
      </c>
      <c r="E183" s="958">
        <v>8.2100000000000009</v>
      </c>
      <c r="F183" s="960"/>
      <c r="G183" s="961"/>
      <c r="H183" s="962"/>
      <c r="I183" s="963"/>
      <c r="J183" s="964"/>
      <c r="K183" s="964">
        <v>25</v>
      </c>
      <c r="L183" s="962">
        <v>0</v>
      </c>
      <c r="M183" s="965" t="s">
        <v>293</v>
      </c>
      <c r="N183" s="966"/>
      <c r="O183" s="967"/>
      <c r="P183" s="958"/>
      <c r="Q183" s="958"/>
      <c r="R183" s="94"/>
      <c r="S183" s="94"/>
      <c r="T183" s="94"/>
      <c r="U183" s="94"/>
      <c r="V183" s="94"/>
      <c r="W183" s="94"/>
      <c r="X183" s="94"/>
      <c r="Y183" s="94"/>
      <c r="Z183" s="94"/>
      <c r="AA183" s="24"/>
      <c r="AB183" s="24"/>
      <c r="AC183" s="24"/>
      <c r="AD183" s="24"/>
      <c r="AE183" s="24"/>
      <c r="AF183" s="24"/>
      <c r="AG183" s="24"/>
      <c r="AH183" s="24"/>
    </row>
    <row r="184" spans="1:34">
      <c r="A184" s="957"/>
      <c r="B184" s="958">
        <v>163</v>
      </c>
      <c r="C184" s="959" t="s">
        <v>424</v>
      </c>
      <c r="D184" s="958">
        <v>0</v>
      </c>
      <c r="E184" s="958">
        <v>8.33</v>
      </c>
      <c r="F184" s="960"/>
      <c r="G184" s="961"/>
      <c r="H184" s="962"/>
      <c r="I184" s="963"/>
      <c r="J184" s="964"/>
      <c r="K184" s="964">
        <v>25</v>
      </c>
      <c r="L184" s="962">
        <v>0</v>
      </c>
      <c r="M184" s="965" t="s">
        <v>423</v>
      </c>
      <c r="N184" s="966"/>
      <c r="O184" s="967"/>
      <c r="P184" s="958"/>
      <c r="Q184" s="958"/>
      <c r="R184" s="94"/>
      <c r="S184" s="94"/>
      <c r="T184" s="94"/>
      <c r="U184" s="94"/>
      <c r="V184" s="94"/>
      <c r="W184" s="94"/>
      <c r="X184" s="94"/>
      <c r="Y184" s="94"/>
      <c r="Z184" s="94"/>
      <c r="AA184" s="24"/>
      <c r="AB184" s="24"/>
      <c r="AC184" s="24"/>
      <c r="AD184" s="24"/>
      <c r="AE184" s="24"/>
      <c r="AF184" s="24"/>
      <c r="AG184" s="24"/>
      <c r="AH184" s="24"/>
    </row>
    <row r="185" spans="1:34">
      <c r="A185" s="957"/>
      <c r="B185" s="958">
        <v>164</v>
      </c>
      <c r="C185" s="959" t="s">
        <v>273</v>
      </c>
      <c r="D185" s="958">
        <v>-1</v>
      </c>
      <c r="E185" s="958">
        <v>9.34</v>
      </c>
      <c r="F185" s="960"/>
      <c r="G185" s="961"/>
      <c r="H185" s="962"/>
      <c r="I185" s="963"/>
      <c r="J185" s="964"/>
      <c r="K185" s="964">
        <v>25</v>
      </c>
      <c r="L185" s="962">
        <v>0</v>
      </c>
      <c r="M185" s="965" t="s">
        <v>272</v>
      </c>
      <c r="N185" s="966"/>
      <c r="O185" s="967"/>
      <c r="P185" s="958"/>
      <c r="Q185" s="958"/>
      <c r="R185" s="94"/>
      <c r="S185" s="94"/>
      <c r="T185" s="94"/>
      <c r="U185" s="94"/>
      <c r="V185" s="94"/>
      <c r="W185" s="94"/>
      <c r="X185" s="94"/>
      <c r="Y185" s="94"/>
      <c r="Z185" s="94"/>
      <c r="AA185" s="24"/>
      <c r="AB185" s="24"/>
      <c r="AC185" s="24"/>
      <c r="AD185" s="24"/>
      <c r="AE185" s="24"/>
      <c r="AF185" s="24"/>
      <c r="AG185" s="24"/>
      <c r="AH185" s="24"/>
    </row>
    <row r="186" spans="1:34">
      <c r="A186" s="957"/>
      <c r="B186" s="958">
        <v>165</v>
      </c>
      <c r="C186" s="959" t="s">
        <v>274</v>
      </c>
      <c r="D186" s="958">
        <v>-1</v>
      </c>
      <c r="E186" s="958">
        <v>9.51</v>
      </c>
      <c r="F186" s="960"/>
      <c r="G186" s="961"/>
      <c r="H186" s="962"/>
      <c r="I186" s="963"/>
      <c r="J186" s="964"/>
      <c r="K186" s="964">
        <v>25</v>
      </c>
      <c r="L186" s="962">
        <v>0</v>
      </c>
      <c r="M186" s="965" t="s">
        <v>272</v>
      </c>
      <c r="N186" s="966"/>
      <c r="O186" s="967"/>
      <c r="P186" s="958"/>
      <c r="Q186" s="958"/>
      <c r="R186" s="94"/>
      <c r="S186" s="94"/>
      <c r="T186" s="94"/>
      <c r="U186" s="94"/>
      <c r="V186" s="94"/>
      <c r="W186" s="94"/>
      <c r="X186" s="94"/>
      <c r="Y186" s="94"/>
      <c r="Z186" s="94"/>
      <c r="AA186" s="24"/>
      <c r="AB186" s="24"/>
      <c r="AC186" s="24"/>
      <c r="AD186" s="24"/>
      <c r="AE186" s="24"/>
      <c r="AF186" s="24"/>
      <c r="AG186" s="24"/>
      <c r="AH186" s="24"/>
    </row>
    <row r="187" spans="1:34">
      <c r="A187" s="957"/>
      <c r="B187" s="958">
        <v>166</v>
      </c>
      <c r="C187" s="959" t="s">
        <v>276</v>
      </c>
      <c r="D187" s="958">
        <v>0</v>
      </c>
      <c r="E187" s="960">
        <v>3.12</v>
      </c>
      <c r="F187" s="958">
        <v>8.02</v>
      </c>
      <c r="G187" s="962"/>
      <c r="H187" s="962"/>
      <c r="I187" s="963"/>
      <c r="J187" s="964"/>
      <c r="K187" s="964">
        <v>25</v>
      </c>
      <c r="L187" s="962">
        <v>0</v>
      </c>
      <c r="M187" s="965" t="s">
        <v>275</v>
      </c>
      <c r="N187" s="966"/>
      <c r="O187" s="967"/>
      <c r="P187" s="958"/>
      <c r="Q187" s="958"/>
      <c r="R187" s="94"/>
      <c r="S187" s="94"/>
      <c r="T187" s="94"/>
      <c r="U187" s="94"/>
      <c r="V187" s="94"/>
      <c r="W187" s="94"/>
      <c r="X187" s="94"/>
      <c r="Y187" s="94"/>
      <c r="Z187" s="94"/>
      <c r="AA187" s="24"/>
      <c r="AB187" s="24"/>
      <c r="AC187" s="24"/>
      <c r="AD187" s="24"/>
      <c r="AE187" s="24"/>
      <c r="AF187" s="24"/>
      <c r="AG187" s="24"/>
      <c r="AH187" s="24"/>
    </row>
    <row r="188" spans="1:34">
      <c r="A188" s="957"/>
      <c r="B188" s="958">
        <v>167</v>
      </c>
      <c r="C188" s="959" t="s">
        <v>215</v>
      </c>
      <c r="D188" s="958">
        <v>-3</v>
      </c>
      <c r="E188" s="958">
        <v>1.1000000000000001</v>
      </c>
      <c r="F188" s="960">
        <v>1.65</v>
      </c>
      <c r="G188" s="961">
        <v>2.94</v>
      </c>
      <c r="H188" s="962">
        <v>10.334</v>
      </c>
      <c r="I188" s="963"/>
      <c r="J188" s="964"/>
      <c r="K188" s="964">
        <v>20</v>
      </c>
      <c r="L188" s="962">
        <v>0</v>
      </c>
      <c r="M188" s="965"/>
      <c r="N188" s="966"/>
      <c r="O188" s="967"/>
      <c r="P188" s="958"/>
      <c r="Q188" s="958"/>
      <c r="R188" s="94"/>
      <c r="S188" s="94"/>
      <c r="T188" s="94"/>
      <c r="U188" s="94"/>
      <c r="V188" s="94"/>
      <c r="W188" s="94"/>
      <c r="X188" s="94"/>
      <c r="Y188" s="94"/>
      <c r="Z188" s="94"/>
      <c r="AA188" s="24"/>
      <c r="AB188" s="24"/>
      <c r="AC188" s="24"/>
      <c r="AD188" s="24"/>
      <c r="AE188" s="24"/>
      <c r="AF188" s="24"/>
      <c r="AG188" s="24"/>
      <c r="AH188" s="24"/>
    </row>
    <row r="189" spans="1:34">
      <c r="A189" s="957"/>
      <c r="B189" s="958">
        <v>168</v>
      </c>
      <c r="C189" s="959" t="s">
        <v>480</v>
      </c>
      <c r="D189" s="958">
        <v>0</v>
      </c>
      <c r="E189" s="958">
        <v>-0.26</v>
      </c>
      <c r="F189" s="960"/>
      <c r="G189" s="961"/>
      <c r="H189" s="962"/>
      <c r="I189" s="963"/>
      <c r="J189" s="964"/>
      <c r="K189" s="964">
        <v>25</v>
      </c>
      <c r="L189" s="962">
        <v>0</v>
      </c>
      <c r="M189" s="965" t="s">
        <v>479</v>
      </c>
      <c r="N189" s="966"/>
      <c r="O189" s="967"/>
      <c r="P189" s="958"/>
      <c r="Q189" s="958"/>
      <c r="R189" s="94"/>
      <c r="S189" s="94"/>
      <c r="T189" s="94"/>
      <c r="U189" s="94"/>
      <c r="V189" s="94"/>
      <c r="W189" s="94"/>
      <c r="X189" s="94"/>
      <c r="Y189" s="94"/>
      <c r="Z189" s="94"/>
      <c r="AA189" s="24"/>
      <c r="AB189" s="24"/>
      <c r="AC189" s="24"/>
      <c r="AD189" s="24"/>
      <c r="AE189" s="24"/>
      <c r="AF189" s="24"/>
      <c r="AG189" s="24"/>
      <c r="AH189" s="24"/>
    </row>
    <row r="190" spans="1:34">
      <c r="A190" s="957"/>
      <c r="B190" s="958">
        <v>169</v>
      </c>
      <c r="C190" s="959" t="s">
        <v>481</v>
      </c>
      <c r="D190" s="958">
        <v>0</v>
      </c>
      <c r="E190" s="958">
        <v>2.4660000000000002</v>
      </c>
      <c r="F190" s="960"/>
      <c r="G190" s="961"/>
      <c r="H190" s="962"/>
      <c r="I190" s="963"/>
      <c r="J190" s="964"/>
      <c r="K190" s="964">
        <v>25</v>
      </c>
      <c r="L190" s="962">
        <v>0</v>
      </c>
      <c r="M190" s="965" t="s">
        <v>479</v>
      </c>
      <c r="N190" s="966"/>
      <c r="O190" s="967"/>
      <c r="P190" s="958"/>
      <c r="Q190" s="958"/>
      <c r="R190" s="94"/>
      <c r="S190" s="94"/>
      <c r="T190" s="94"/>
      <c r="U190" s="94"/>
      <c r="V190" s="94"/>
      <c r="W190" s="94"/>
      <c r="X190" s="94"/>
      <c r="Y190" s="94"/>
      <c r="Z190" s="94"/>
      <c r="AA190" s="24"/>
      <c r="AB190" s="24"/>
      <c r="AC190" s="24"/>
      <c r="AD190" s="24"/>
      <c r="AE190" s="24"/>
      <c r="AF190" s="24"/>
      <c r="AG190" s="24"/>
      <c r="AH190" s="24"/>
    </row>
    <row r="191" spans="1:34">
      <c r="A191" s="957"/>
      <c r="B191" s="958">
        <v>170</v>
      </c>
      <c r="C191" s="959" t="s">
        <v>482</v>
      </c>
      <c r="D191" s="958">
        <v>0</v>
      </c>
      <c r="E191" s="958">
        <v>1</v>
      </c>
      <c r="F191" s="960"/>
      <c r="G191" s="961"/>
      <c r="H191" s="962"/>
      <c r="I191" s="963"/>
      <c r="J191" s="964"/>
      <c r="K191" s="964">
        <v>25</v>
      </c>
      <c r="L191" s="962">
        <v>0</v>
      </c>
      <c r="M191" s="965" t="s">
        <v>479</v>
      </c>
      <c r="N191" s="966"/>
      <c r="O191" s="967"/>
      <c r="P191" s="958"/>
      <c r="Q191" s="958"/>
      <c r="R191" s="94"/>
      <c r="S191" s="94"/>
      <c r="T191" s="94"/>
      <c r="U191" s="94"/>
      <c r="V191" s="94"/>
      <c r="W191" s="94"/>
      <c r="X191" s="94"/>
      <c r="Y191" s="94"/>
      <c r="Z191" s="94"/>
      <c r="AA191" s="24"/>
      <c r="AB191" s="24"/>
      <c r="AC191" s="24"/>
      <c r="AD191" s="24"/>
      <c r="AE191" s="24"/>
      <c r="AF191" s="24"/>
      <c r="AG191" s="24"/>
      <c r="AH191" s="24"/>
    </row>
    <row r="192" spans="1:34">
      <c r="A192" s="957"/>
      <c r="B192" s="958">
        <v>171</v>
      </c>
      <c r="C192" s="959" t="s">
        <v>216</v>
      </c>
      <c r="D192" s="958">
        <v>-1</v>
      </c>
      <c r="E192" s="958">
        <v>2.1789999999999998</v>
      </c>
      <c r="F192" s="960"/>
      <c r="G192" s="961"/>
      <c r="H192" s="962"/>
      <c r="I192" s="963"/>
      <c r="J192" s="964"/>
      <c r="K192" s="964">
        <v>25</v>
      </c>
      <c r="L192" s="962">
        <v>0</v>
      </c>
      <c r="M192" s="965" t="s">
        <v>69</v>
      </c>
      <c r="N192" s="966"/>
      <c r="O192" s="967"/>
      <c r="P192" s="958"/>
      <c r="Q192" s="958"/>
      <c r="R192" s="94"/>
      <c r="S192" s="94"/>
      <c r="T192" s="94"/>
      <c r="U192" s="94"/>
      <c r="V192" s="94"/>
      <c r="W192" s="94"/>
      <c r="X192" s="94"/>
      <c r="Y192" s="94"/>
      <c r="Z192" s="94"/>
      <c r="AA192" s="24"/>
      <c r="AB192" s="24"/>
      <c r="AC192" s="24"/>
      <c r="AD192" s="24"/>
      <c r="AE192" s="24"/>
      <c r="AF192" s="24"/>
      <c r="AG192" s="24"/>
      <c r="AH192" s="24"/>
    </row>
    <row r="193" spans="1:34">
      <c r="A193" s="957"/>
      <c r="B193" s="958">
        <v>172</v>
      </c>
      <c r="C193" s="959" t="s">
        <v>217</v>
      </c>
      <c r="D193" s="958">
        <v>-1</v>
      </c>
      <c r="E193" s="958">
        <v>7.21</v>
      </c>
      <c r="F193" s="960"/>
      <c r="G193" s="961"/>
      <c r="H193" s="962"/>
      <c r="I193" s="963"/>
      <c r="J193" s="964"/>
      <c r="K193" s="964">
        <v>25</v>
      </c>
      <c r="L193" s="962">
        <v>0</v>
      </c>
      <c r="M193" s="965" t="s">
        <v>473</v>
      </c>
      <c r="N193" s="966"/>
      <c r="O193" s="967"/>
      <c r="P193" s="958"/>
      <c r="Q193" s="958"/>
      <c r="R193" s="94"/>
      <c r="S193" s="94"/>
      <c r="T193" s="94"/>
      <c r="U193" s="94"/>
      <c r="V193" s="94"/>
      <c r="W193" s="94"/>
      <c r="X193" s="94"/>
      <c r="Y193" s="94"/>
      <c r="Z193" s="94"/>
      <c r="AA193" s="24"/>
      <c r="AB193" s="24"/>
      <c r="AC193" s="24"/>
      <c r="AD193" s="24"/>
      <c r="AE193" s="24"/>
      <c r="AF193" s="24"/>
      <c r="AG193" s="24"/>
      <c r="AH193" s="24"/>
    </row>
    <row r="194" spans="1:34">
      <c r="A194" s="957"/>
      <c r="B194" s="958">
        <v>173</v>
      </c>
      <c r="C194" s="959" t="s">
        <v>218</v>
      </c>
      <c r="D194" s="958">
        <v>-1</v>
      </c>
      <c r="E194" s="958">
        <v>8.39</v>
      </c>
      <c r="F194" s="960"/>
      <c r="G194" s="961"/>
      <c r="H194" s="962"/>
      <c r="I194" s="963"/>
      <c r="J194" s="964"/>
      <c r="K194" s="964">
        <v>25</v>
      </c>
      <c r="L194" s="962">
        <v>0</v>
      </c>
      <c r="M194" s="965" t="s">
        <v>473</v>
      </c>
      <c r="N194" s="966"/>
      <c r="O194" s="967"/>
      <c r="P194" s="958"/>
      <c r="Q194" s="958"/>
      <c r="R194" s="94"/>
      <c r="S194" s="94"/>
      <c r="T194" s="94"/>
      <c r="U194" s="94"/>
      <c r="V194" s="94"/>
      <c r="W194" s="94"/>
      <c r="X194" s="94"/>
      <c r="Y194" s="94"/>
      <c r="Z194" s="94"/>
      <c r="AA194" s="24"/>
      <c r="AB194" s="24"/>
      <c r="AC194" s="24"/>
      <c r="AD194" s="24"/>
      <c r="AE194" s="24"/>
      <c r="AF194" s="24"/>
      <c r="AG194" s="24"/>
      <c r="AH194" s="24"/>
    </row>
    <row r="195" spans="1:34">
      <c r="A195" s="957"/>
      <c r="B195" s="958">
        <v>174</v>
      </c>
      <c r="C195" s="959" t="s">
        <v>474</v>
      </c>
      <c r="D195" s="958">
        <v>-1</v>
      </c>
      <c r="E195" s="958">
        <v>7.15</v>
      </c>
      <c r="F195" s="960"/>
      <c r="G195" s="961"/>
      <c r="H195" s="962"/>
      <c r="I195" s="963"/>
      <c r="J195" s="964"/>
      <c r="K195" s="964">
        <v>25</v>
      </c>
      <c r="L195" s="962">
        <v>0</v>
      </c>
      <c r="M195" s="965" t="s">
        <v>473</v>
      </c>
      <c r="N195" s="966"/>
      <c r="O195" s="967"/>
      <c r="P195" s="958"/>
      <c r="Q195" s="958"/>
      <c r="R195" s="94"/>
      <c r="S195" s="94"/>
      <c r="T195" s="94"/>
      <c r="U195" s="94"/>
      <c r="V195" s="94"/>
      <c r="W195" s="94"/>
      <c r="X195" s="94"/>
      <c r="Y195" s="94"/>
      <c r="Z195" s="94"/>
      <c r="AA195" s="24"/>
      <c r="AB195" s="24"/>
      <c r="AC195" s="24"/>
      <c r="AD195" s="24"/>
      <c r="AE195" s="24"/>
      <c r="AF195" s="24"/>
      <c r="AG195" s="24"/>
      <c r="AH195" s="24"/>
    </row>
    <row r="196" spans="1:34">
      <c r="A196" s="957"/>
      <c r="B196" s="958">
        <v>175</v>
      </c>
      <c r="C196" s="959" t="s">
        <v>219</v>
      </c>
      <c r="D196" s="958">
        <v>-1</v>
      </c>
      <c r="E196" s="958">
        <v>3.4489999999999998</v>
      </c>
      <c r="F196" s="960"/>
      <c r="G196" s="961"/>
      <c r="H196" s="962"/>
      <c r="I196" s="963"/>
      <c r="J196" s="964"/>
      <c r="K196" s="964">
        <v>25</v>
      </c>
      <c r="L196" s="962">
        <v>0</v>
      </c>
      <c r="M196" s="965" t="s">
        <v>69</v>
      </c>
      <c r="N196" s="966"/>
      <c r="O196" s="967"/>
      <c r="P196" s="958"/>
      <c r="Q196" s="958"/>
      <c r="R196" s="94"/>
      <c r="S196" s="94"/>
      <c r="T196" s="94"/>
      <c r="U196" s="94"/>
      <c r="V196" s="94"/>
      <c r="W196" s="94"/>
      <c r="X196" s="94"/>
      <c r="Y196" s="94"/>
      <c r="Z196" s="94"/>
      <c r="AA196" s="24"/>
      <c r="AB196" s="24"/>
      <c r="AC196" s="24"/>
      <c r="AD196" s="24"/>
      <c r="AE196" s="24"/>
      <c r="AF196" s="24"/>
      <c r="AG196" s="24"/>
      <c r="AH196" s="24"/>
    </row>
    <row r="197" spans="1:34">
      <c r="A197" s="957"/>
      <c r="B197" s="958">
        <v>176</v>
      </c>
      <c r="C197" s="959" t="s">
        <v>72</v>
      </c>
      <c r="D197" s="958">
        <v>-1</v>
      </c>
      <c r="E197" s="958">
        <v>3.4420000000000002</v>
      </c>
      <c r="F197" s="960"/>
      <c r="G197" s="961"/>
      <c r="H197" s="962"/>
      <c r="I197" s="963"/>
      <c r="J197" s="964"/>
      <c r="K197" s="964">
        <v>25</v>
      </c>
      <c r="L197" s="962">
        <v>0</v>
      </c>
      <c r="M197" s="965" t="s">
        <v>69</v>
      </c>
      <c r="N197" s="966"/>
      <c r="O197" s="967"/>
      <c r="P197" s="958"/>
      <c r="Q197" s="958"/>
      <c r="R197" s="94"/>
      <c r="S197" s="94"/>
      <c r="T197" s="94"/>
      <c r="U197" s="94"/>
      <c r="V197" s="94"/>
      <c r="W197" s="94"/>
      <c r="X197" s="94"/>
      <c r="Y197" s="94"/>
      <c r="Z197" s="94"/>
      <c r="AA197" s="24"/>
      <c r="AB197" s="24"/>
      <c r="AC197" s="24"/>
      <c r="AD197" s="24"/>
      <c r="AE197" s="24"/>
      <c r="AF197" s="24"/>
      <c r="AG197" s="24"/>
      <c r="AH197" s="24"/>
    </row>
    <row r="198" spans="1:34">
      <c r="A198" s="957"/>
      <c r="B198" s="958">
        <v>177</v>
      </c>
      <c r="C198" s="959" t="s">
        <v>220</v>
      </c>
      <c r="D198" s="958">
        <v>-1</v>
      </c>
      <c r="E198" s="958">
        <v>3.15</v>
      </c>
      <c r="F198" s="960"/>
      <c r="G198" s="961"/>
      <c r="H198" s="962"/>
      <c r="I198" s="963"/>
      <c r="J198" s="964"/>
      <c r="K198" s="964">
        <v>25</v>
      </c>
      <c r="L198" s="962">
        <v>0</v>
      </c>
      <c r="M198" s="965" t="s">
        <v>221</v>
      </c>
      <c r="N198" s="966"/>
      <c r="O198" s="967"/>
      <c r="P198" s="958"/>
      <c r="Q198" s="958"/>
      <c r="R198" s="94"/>
      <c r="S198" s="94"/>
      <c r="T198" s="94"/>
      <c r="U198" s="94"/>
      <c r="V198" s="94"/>
      <c r="W198" s="94"/>
      <c r="X198" s="94"/>
      <c r="Y198" s="94"/>
      <c r="Z198" s="94"/>
      <c r="AA198" s="24"/>
      <c r="AB198" s="24"/>
      <c r="AC198" s="24"/>
      <c r="AD198" s="24"/>
      <c r="AE198" s="24"/>
      <c r="AF198" s="24"/>
      <c r="AG198" s="24"/>
      <c r="AH198" s="24"/>
    </row>
    <row r="199" spans="1:34">
      <c r="A199" s="957"/>
      <c r="B199" s="958">
        <v>178</v>
      </c>
      <c r="C199" s="959" t="s">
        <v>116</v>
      </c>
      <c r="D199" s="958">
        <v>-1</v>
      </c>
      <c r="E199" s="958">
        <v>8.64</v>
      </c>
      <c r="F199" s="960">
        <v>9.6999999999999993</v>
      </c>
      <c r="G199" s="961"/>
      <c r="H199" s="962"/>
      <c r="I199" s="963"/>
      <c r="J199" s="964"/>
      <c r="K199" s="964">
        <v>25</v>
      </c>
      <c r="L199" s="962">
        <v>0</v>
      </c>
      <c r="M199" s="965" t="s">
        <v>115</v>
      </c>
      <c r="N199" s="966"/>
      <c r="O199" s="967"/>
      <c r="P199" s="958"/>
      <c r="Q199" s="958"/>
      <c r="R199" s="94"/>
      <c r="S199" s="94"/>
      <c r="T199" s="94"/>
      <c r="U199" s="94"/>
      <c r="V199" s="94"/>
      <c r="W199" s="94"/>
      <c r="X199" s="94"/>
      <c r="Y199" s="94"/>
      <c r="Z199" s="94"/>
      <c r="AA199" s="24"/>
      <c r="AB199" s="24"/>
      <c r="AC199" s="24"/>
      <c r="AD199" s="24"/>
      <c r="AE199" s="24"/>
      <c r="AF199" s="24"/>
      <c r="AG199" s="24"/>
      <c r="AH199" s="24"/>
    </row>
    <row r="200" spans="1:34">
      <c r="A200" s="957"/>
      <c r="B200" s="958">
        <v>179</v>
      </c>
      <c r="C200" s="959" t="s">
        <v>298</v>
      </c>
      <c r="D200" s="958">
        <v>0</v>
      </c>
      <c r="E200" s="958">
        <v>10.6</v>
      </c>
      <c r="F200" s="960"/>
      <c r="G200" s="961"/>
      <c r="H200" s="962"/>
      <c r="I200" s="963"/>
      <c r="J200" s="964"/>
      <c r="K200" s="964">
        <v>25</v>
      </c>
      <c r="L200" s="962">
        <v>0</v>
      </c>
      <c r="M200" s="965" t="s">
        <v>297</v>
      </c>
      <c r="N200" s="966"/>
      <c r="O200" s="967"/>
      <c r="P200" s="958"/>
      <c r="Q200" s="958"/>
      <c r="R200" s="94"/>
      <c r="S200" s="94"/>
      <c r="T200" s="94"/>
      <c r="U200" s="94"/>
      <c r="V200" s="94"/>
      <c r="W200" s="94"/>
      <c r="X200" s="94"/>
      <c r="Y200" s="94"/>
      <c r="Z200" s="94"/>
      <c r="AA200" s="24"/>
      <c r="AB200" s="24"/>
      <c r="AC200" s="24"/>
      <c r="AD200" s="24"/>
      <c r="AE200" s="24"/>
      <c r="AF200" s="24"/>
      <c r="AG200" s="24"/>
      <c r="AH200" s="24"/>
    </row>
    <row r="201" spans="1:34">
      <c r="A201" s="957"/>
      <c r="B201" s="958">
        <v>180</v>
      </c>
      <c r="C201" s="959" t="s">
        <v>119</v>
      </c>
      <c r="D201" s="958">
        <v>-1</v>
      </c>
      <c r="E201" s="958">
        <v>4.5199999999999996</v>
      </c>
      <c r="F201" s="960"/>
      <c r="G201" s="961"/>
      <c r="H201" s="962"/>
      <c r="I201" s="963"/>
      <c r="J201" s="964"/>
      <c r="K201" s="964">
        <v>25</v>
      </c>
      <c r="L201" s="962">
        <v>0</v>
      </c>
      <c r="M201" s="965" t="s">
        <v>118</v>
      </c>
      <c r="N201" s="966"/>
      <c r="O201" s="967"/>
      <c r="P201" s="958"/>
      <c r="Q201" s="958"/>
      <c r="R201" s="94"/>
      <c r="S201" s="94"/>
      <c r="T201" s="94"/>
      <c r="U201" s="94"/>
      <c r="V201" s="94"/>
      <c r="W201" s="94"/>
      <c r="X201" s="94"/>
      <c r="Y201" s="94"/>
      <c r="Z201" s="94"/>
      <c r="AA201" s="24"/>
      <c r="AB201" s="24"/>
      <c r="AC201" s="24"/>
      <c r="AD201" s="24"/>
      <c r="AE201" s="24"/>
      <c r="AF201" s="24"/>
      <c r="AG201" s="24"/>
      <c r="AH201" s="24"/>
    </row>
    <row r="202" spans="1:34">
      <c r="A202" s="957"/>
      <c r="B202" s="958">
        <v>181</v>
      </c>
      <c r="C202" s="959" t="s">
        <v>121</v>
      </c>
      <c r="D202" s="958">
        <v>-1</v>
      </c>
      <c r="E202" s="958">
        <v>4.8899999999999997</v>
      </c>
      <c r="F202" s="960"/>
      <c r="G202" s="961"/>
      <c r="H202" s="962"/>
      <c r="I202" s="963"/>
      <c r="J202" s="964"/>
      <c r="K202" s="964">
        <v>25</v>
      </c>
      <c r="L202" s="962">
        <v>0</v>
      </c>
      <c r="M202" s="965" t="s">
        <v>120</v>
      </c>
      <c r="N202" s="966"/>
      <c r="O202" s="967"/>
      <c r="P202" s="958"/>
      <c r="Q202" s="958"/>
      <c r="R202" s="94"/>
      <c r="S202" s="94"/>
      <c r="T202" s="94"/>
      <c r="U202" s="94"/>
      <c r="V202" s="94"/>
      <c r="W202" s="94"/>
      <c r="X202" s="94"/>
      <c r="Y202" s="94"/>
      <c r="Z202" s="94"/>
      <c r="AA202" s="24"/>
      <c r="AB202" s="24"/>
      <c r="AC202" s="24"/>
      <c r="AD202" s="24"/>
      <c r="AE202" s="24"/>
      <c r="AF202" s="24"/>
      <c r="AG202" s="24"/>
      <c r="AH202" s="24"/>
    </row>
    <row r="203" spans="1:34">
      <c r="A203" s="957"/>
      <c r="B203" s="958">
        <v>182</v>
      </c>
      <c r="C203" s="959" t="s">
        <v>222</v>
      </c>
      <c r="D203" s="958">
        <v>-2</v>
      </c>
      <c r="E203" s="958">
        <v>1.252</v>
      </c>
      <c r="F203" s="960">
        <v>4.266</v>
      </c>
      <c r="G203" s="961"/>
      <c r="H203" s="962"/>
      <c r="I203" s="963"/>
      <c r="J203" s="964"/>
      <c r="K203" s="964">
        <v>25</v>
      </c>
      <c r="L203" s="962">
        <v>0</v>
      </c>
      <c r="M203" s="965" t="s">
        <v>372</v>
      </c>
      <c r="N203" s="966"/>
      <c r="O203" s="967"/>
      <c r="P203" s="958"/>
      <c r="Q203" s="958"/>
      <c r="R203" s="94"/>
      <c r="S203" s="94"/>
      <c r="T203" s="94"/>
      <c r="U203" s="94"/>
      <c r="V203" s="94"/>
      <c r="W203" s="94"/>
      <c r="X203" s="94"/>
      <c r="Y203" s="94"/>
      <c r="Z203" s="94"/>
      <c r="AA203" s="24"/>
      <c r="AB203" s="24"/>
      <c r="AC203" s="24"/>
      <c r="AD203" s="24"/>
      <c r="AE203" s="24"/>
      <c r="AF203" s="24"/>
      <c r="AG203" s="24"/>
      <c r="AH203" s="24"/>
    </row>
    <row r="204" spans="1:34">
      <c r="A204" s="957"/>
      <c r="B204" s="958">
        <v>183</v>
      </c>
      <c r="C204" s="959" t="s">
        <v>404</v>
      </c>
      <c r="D204" s="958">
        <v>-2</v>
      </c>
      <c r="E204" s="958">
        <v>2.2200000000000002</v>
      </c>
      <c r="F204" s="960">
        <v>3.89</v>
      </c>
      <c r="G204" s="961">
        <v>13.03</v>
      </c>
      <c r="H204" s="962"/>
      <c r="I204" s="963"/>
      <c r="J204" s="964"/>
      <c r="K204" s="964">
        <v>25</v>
      </c>
      <c r="L204" s="962">
        <v>0</v>
      </c>
      <c r="M204" s="965" t="s">
        <v>403</v>
      </c>
      <c r="N204" s="966"/>
      <c r="O204" s="967"/>
      <c r="P204" s="958"/>
      <c r="Q204" s="958"/>
      <c r="R204" s="94"/>
      <c r="S204" s="94"/>
      <c r="T204" s="94"/>
      <c r="U204" s="94"/>
      <c r="V204" s="94"/>
      <c r="W204" s="94"/>
      <c r="X204" s="94"/>
      <c r="Y204" s="94"/>
      <c r="Z204" s="94"/>
      <c r="AA204" s="24"/>
      <c r="AB204" s="24"/>
      <c r="AC204" s="24"/>
      <c r="AD204" s="24"/>
      <c r="AE204" s="24"/>
      <c r="AF204" s="24"/>
      <c r="AG204" s="24"/>
      <c r="AH204" s="24"/>
    </row>
    <row r="205" spans="1:34">
      <c r="A205" s="957"/>
      <c r="B205" s="958">
        <v>184</v>
      </c>
      <c r="C205" s="959" t="s">
        <v>300</v>
      </c>
      <c r="D205" s="958">
        <v>0</v>
      </c>
      <c r="E205" s="958">
        <v>6.4</v>
      </c>
      <c r="F205" s="960"/>
      <c r="G205" s="961"/>
      <c r="H205" s="962"/>
      <c r="I205" s="963"/>
      <c r="J205" s="964"/>
      <c r="K205" s="964">
        <v>25</v>
      </c>
      <c r="L205" s="962">
        <v>0</v>
      </c>
      <c r="M205" s="965" t="s">
        <v>299</v>
      </c>
      <c r="N205" s="966"/>
      <c r="O205" s="967"/>
      <c r="P205" s="958"/>
      <c r="Q205" s="958"/>
      <c r="R205" s="94"/>
      <c r="S205" s="94"/>
      <c r="T205" s="94"/>
      <c r="U205" s="94"/>
      <c r="V205" s="94"/>
      <c r="W205" s="94"/>
      <c r="X205" s="94"/>
      <c r="Y205" s="94"/>
      <c r="Z205" s="94"/>
      <c r="AA205" s="24"/>
      <c r="AB205" s="24"/>
      <c r="AC205" s="24"/>
      <c r="AD205" s="24"/>
      <c r="AE205" s="24"/>
      <c r="AF205" s="24"/>
      <c r="AG205" s="24"/>
      <c r="AH205" s="24"/>
    </row>
    <row r="206" spans="1:34">
      <c r="A206" s="957"/>
      <c r="B206" s="958">
        <v>185</v>
      </c>
      <c r="C206" s="959" t="s">
        <v>450</v>
      </c>
      <c r="D206" s="958">
        <v>-1</v>
      </c>
      <c r="E206" s="958">
        <v>4.84</v>
      </c>
      <c r="F206" s="960"/>
      <c r="G206" s="961"/>
      <c r="H206" s="962"/>
      <c r="I206" s="963"/>
      <c r="J206" s="964"/>
      <c r="K206" s="964">
        <v>25</v>
      </c>
      <c r="L206" s="962">
        <v>0</v>
      </c>
      <c r="M206" s="965" t="s">
        <v>447</v>
      </c>
      <c r="N206" s="966"/>
      <c r="O206" s="967"/>
      <c r="P206" s="958"/>
      <c r="Q206" s="958"/>
      <c r="R206" s="94"/>
      <c r="S206" s="94"/>
      <c r="T206" s="94"/>
      <c r="U206" s="94"/>
      <c r="V206" s="94"/>
      <c r="W206" s="94"/>
      <c r="X206" s="94"/>
      <c r="Y206" s="94"/>
      <c r="Z206" s="94"/>
      <c r="AA206" s="24"/>
      <c r="AB206" s="24"/>
      <c r="AC206" s="24"/>
      <c r="AD206" s="24"/>
      <c r="AE206" s="24"/>
      <c r="AF206" s="24"/>
      <c r="AG206" s="24"/>
      <c r="AH206" s="24"/>
    </row>
    <row r="207" spans="1:34">
      <c r="A207" s="957"/>
      <c r="B207" s="958">
        <v>186</v>
      </c>
      <c r="C207" s="959" t="s">
        <v>223</v>
      </c>
      <c r="D207" s="958">
        <v>-1</v>
      </c>
      <c r="E207" s="969">
        <v>-10</v>
      </c>
      <c r="F207" s="970"/>
      <c r="G207" s="970"/>
      <c r="H207" s="970"/>
      <c r="I207" s="970"/>
      <c r="J207" s="970"/>
      <c r="K207" s="971">
        <v>25</v>
      </c>
      <c r="L207" s="968">
        <v>0</v>
      </c>
      <c r="M207" s="965" t="s">
        <v>224</v>
      </c>
      <c r="N207" s="966"/>
      <c r="O207" s="967"/>
      <c r="P207" s="958"/>
      <c r="Q207" s="958"/>
      <c r="R207" s="94"/>
      <c r="S207" s="94"/>
      <c r="T207" s="94"/>
      <c r="U207" s="94"/>
      <c r="V207" s="94"/>
      <c r="W207" s="94"/>
      <c r="X207" s="94"/>
      <c r="Y207" s="94"/>
      <c r="Z207" s="94"/>
      <c r="AA207" s="24"/>
      <c r="AB207" s="24"/>
      <c r="AC207" s="24"/>
      <c r="AD207" s="24"/>
      <c r="AE207" s="24"/>
      <c r="AF207" s="24"/>
      <c r="AG207" s="24"/>
      <c r="AH207" s="24"/>
    </row>
    <row r="208" spans="1:34">
      <c r="A208" s="957"/>
      <c r="B208" s="958">
        <v>187</v>
      </c>
      <c r="C208" s="959" t="s">
        <v>575</v>
      </c>
      <c r="D208" s="958">
        <v>-2</v>
      </c>
      <c r="E208" s="958">
        <v>1.55</v>
      </c>
      <c r="F208" s="960">
        <v>8.2799999999999994</v>
      </c>
      <c r="G208" s="961"/>
      <c r="H208" s="962"/>
      <c r="I208" s="963"/>
      <c r="J208" s="964"/>
      <c r="K208" s="964"/>
      <c r="L208" s="962"/>
      <c r="M208" s="965" t="s">
        <v>358</v>
      </c>
      <c r="N208" s="966"/>
      <c r="O208" s="967"/>
      <c r="P208" s="958"/>
      <c r="Q208" s="958"/>
      <c r="R208" s="94"/>
      <c r="S208" s="94"/>
      <c r="T208" s="94"/>
      <c r="U208" s="94"/>
      <c r="V208" s="94"/>
      <c r="W208" s="94"/>
      <c r="X208" s="94"/>
      <c r="Y208" s="94"/>
      <c r="Z208" s="94"/>
      <c r="AA208" s="24"/>
      <c r="AB208" s="24"/>
      <c r="AC208" s="24"/>
      <c r="AD208" s="24"/>
      <c r="AE208" s="24"/>
      <c r="AF208" s="24"/>
      <c r="AG208" s="24"/>
      <c r="AH208" s="24"/>
    </row>
    <row r="209" spans="1:34">
      <c r="A209" s="957"/>
      <c r="B209" s="958">
        <v>188</v>
      </c>
      <c r="C209" s="959" t="s">
        <v>289</v>
      </c>
      <c r="D209" s="958">
        <v>0</v>
      </c>
      <c r="E209" s="958">
        <v>4.84</v>
      </c>
      <c r="F209" s="960"/>
      <c r="G209" s="961"/>
      <c r="H209" s="962"/>
      <c r="I209" s="963"/>
      <c r="J209" s="964"/>
      <c r="K209" s="964">
        <v>25</v>
      </c>
      <c r="L209" s="962">
        <v>0</v>
      </c>
      <c r="M209" s="965" t="s">
        <v>288</v>
      </c>
      <c r="N209" s="966">
        <v>180.3</v>
      </c>
      <c r="O209" s="967"/>
      <c r="P209" s="958"/>
      <c r="Q209" s="958"/>
      <c r="R209" s="94"/>
      <c r="S209" s="94"/>
      <c r="T209" s="94"/>
      <c r="U209" s="94"/>
      <c r="V209" s="94"/>
      <c r="W209" s="94"/>
      <c r="X209" s="94"/>
      <c r="Y209" s="94"/>
      <c r="Z209" s="94"/>
      <c r="AA209" s="24"/>
      <c r="AB209" s="24"/>
      <c r="AC209" s="24"/>
      <c r="AD209" s="24"/>
      <c r="AE209" s="24"/>
      <c r="AF209" s="24"/>
      <c r="AG209" s="24"/>
      <c r="AH209" s="24"/>
    </row>
    <row r="210" spans="1:34">
      <c r="A210" s="957"/>
      <c r="B210" s="958">
        <v>189</v>
      </c>
      <c r="C210" s="959" t="s">
        <v>110</v>
      </c>
      <c r="D210" s="958">
        <v>0</v>
      </c>
      <c r="E210" s="958">
        <v>4.18</v>
      </c>
      <c r="F210" s="960"/>
      <c r="G210" s="961"/>
      <c r="H210" s="962"/>
      <c r="I210" s="963"/>
      <c r="J210" s="964"/>
      <c r="K210" s="964">
        <v>25</v>
      </c>
      <c r="L210" s="962">
        <v>0</v>
      </c>
      <c r="M210" s="965" t="s">
        <v>108</v>
      </c>
      <c r="N210" s="966"/>
      <c r="O210" s="967"/>
      <c r="P210" s="958"/>
      <c r="Q210" s="958"/>
      <c r="R210" s="94"/>
      <c r="S210" s="94"/>
      <c r="T210" s="94"/>
      <c r="U210" s="94"/>
      <c r="V210" s="94"/>
      <c r="W210" s="94"/>
      <c r="X210" s="94"/>
      <c r="Y210" s="94"/>
      <c r="Z210" s="94"/>
      <c r="AA210" s="24"/>
      <c r="AB210" s="24"/>
      <c r="AC210" s="24"/>
      <c r="AD210" s="24"/>
      <c r="AE210" s="24"/>
      <c r="AF210" s="24"/>
      <c r="AG210" s="24"/>
      <c r="AH210" s="24"/>
    </row>
    <row r="211" spans="1:34">
      <c r="A211" s="957"/>
      <c r="B211" s="958">
        <v>190</v>
      </c>
      <c r="C211" s="959" t="s">
        <v>109</v>
      </c>
      <c r="D211" s="958">
        <v>0</v>
      </c>
      <c r="E211" s="958">
        <v>4.43</v>
      </c>
      <c r="F211" s="960"/>
      <c r="G211" s="961"/>
      <c r="H211" s="962"/>
      <c r="I211" s="963"/>
      <c r="J211" s="964"/>
      <c r="K211" s="964">
        <v>28</v>
      </c>
      <c r="L211" s="962">
        <v>0</v>
      </c>
      <c r="M211" s="965" t="s">
        <v>108</v>
      </c>
      <c r="N211" s="966"/>
      <c r="O211" s="967"/>
      <c r="P211" s="958"/>
      <c r="Q211" s="958"/>
      <c r="R211" s="94"/>
      <c r="S211" s="94"/>
      <c r="T211" s="94"/>
      <c r="U211" s="94"/>
      <c r="V211" s="94"/>
      <c r="W211" s="94"/>
      <c r="X211" s="94"/>
      <c r="Y211" s="94"/>
      <c r="Z211" s="94"/>
      <c r="AA211" s="24"/>
      <c r="AB211" s="24"/>
      <c r="AC211" s="24"/>
      <c r="AD211" s="24"/>
      <c r="AE211" s="24"/>
      <c r="AF211" s="24"/>
      <c r="AG211" s="24"/>
      <c r="AH211" s="24"/>
    </row>
    <row r="212" spans="1:34">
      <c r="A212" s="957"/>
      <c r="B212" s="958">
        <v>191</v>
      </c>
      <c r="C212" s="959" t="s">
        <v>225</v>
      </c>
      <c r="D212" s="958">
        <v>-1</v>
      </c>
      <c r="E212" s="958">
        <v>9.98</v>
      </c>
      <c r="F212" s="960"/>
      <c r="G212" s="961"/>
      <c r="H212" s="962"/>
      <c r="I212" s="963"/>
      <c r="J212" s="964"/>
      <c r="K212" s="964">
        <v>25</v>
      </c>
      <c r="L212" s="962">
        <v>0</v>
      </c>
      <c r="M212" s="965" t="s">
        <v>359</v>
      </c>
      <c r="N212" s="966"/>
      <c r="O212" s="967"/>
      <c r="P212" s="958"/>
      <c r="Q212" s="958"/>
      <c r="R212" s="94"/>
      <c r="S212" s="94"/>
      <c r="T212" s="94"/>
      <c r="U212" s="94"/>
      <c r="V212" s="94"/>
      <c r="W212" s="94"/>
      <c r="X212" s="94"/>
      <c r="Y212" s="94"/>
      <c r="Z212" s="94"/>
      <c r="AA212" s="24"/>
      <c r="AB212" s="24"/>
      <c r="AC212" s="24"/>
      <c r="AD212" s="24"/>
      <c r="AE212" s="24"/>
      <c r="AF212" s="24"/>
      <c r="AG212" s="24"/>
      <c r="AH212" s="24"/>
    </row>
    <row r="213" spans="1:34">
      <c r="A213" s="957"/>
      <c r="B213" s="958">
        <v>192</v>
      </c>
      <c r="C213" s="959" t="s">
        <v>100</v>
      </c>
      <c r="D213" s="958">
        <v>-1</v>
      </c>
      <c r="E213" s="958">
        <v>4.28</v>
      </c>
      <c r="F213" s="960"/>
      <c r="G213" s="961"/>
      <c r="H213" s="962"/>
      <c r="I213" s="963"/>
      <c r="J213" s="964"/>
      <c r="K213" s="964">
        <v>18</v>
      </c>
      <c r="L213" s="962">
        <v>0</v>
      </c>
      <c r="M213" s="965" t="s">
        <v>99</v>
      </c>
      <c r="N213" s="966"/>
      <c r="O213" s="967"/>
      <c r="P213" s="958"/>
      <c r="Q213" s="958"/>
      <c r="R213" s="94"/>
      <c r="S213" s="94"/>
      <c r="T213" s="94"/>
      <c r="U213" s="94"/>
      <c r="V213" s="94"/>
      <c r="W213" s="94"/>
      <c r="X213" s="94"/>
      <c r="Y213" s="94"/>
      <c r="Z213" s="94"/>
      <c r="AA213" s="24"/>
      <c r="AB213" s="24"/>
      <c r="AC213" s="24"/>
      <c r="AD213" s="24"/>
      <c r="AE213" s="24"/>
      <c r="AF213" s="24"/>
      <c r="AG213" s="24"/>
      <c r="AH213" s="24"/>
    </row>
    <row r="214" spans="1:34">
      <c r="A214" s="957"/>
      <c r="B214" s="958">
        <v>193</v>
      </c>
      <c r="C214" s="959" t="s">
        <v>269</v>
      </c>
      <c r="D214" s="958">
        <v>-1</v>
      </c>
      <c r="E214" s="958">
        <v>2.2000000000000002</v>
      </c>
      <c r="F214" s="960">
        <v>9.31</v>
      </c>
      <c r="G214" s="961"/>
      <c r="H214" s="962"/>
      <c r="I214" s="963"/>
      <c r="J214" s="964"/>
      <c r="K214" s="964">
        <v>25</v>
      </c>
      <c r="L214" s="962">
        <v>0</v>
      </c>
      <c r="M214" s="965" t="s">
        <v>268</v>
      </c>
      <c r="N214" s="966"/>
      <c r="O214" s="967"/>
      <c r="P214" s="958"/>
      <c r="Q214" s="958"/>
      <c r="R214" s="94"/>
      <c r="S214" s="94"/>
      <c r="T214" s="94"/>
      <c r="U214" s="94"/>
      <c r="V214" s="94"/>
      <c r="W214" s="94"/>
      <c r="X214" s="94"/>
      <c r="Y214" s="94"/>
      <c r="Z214" s="94"/>
      <c r="AA214" s="24"/>
      <c r="AB214" s="24"/>
      <c r="AC214" s="24"/>
      <c r="AD214" s="24"/>
      <c r="AE214" s="24"/>
      <c r="AF214" s="24"/>
      <c r="AG214" s="24"/>
      <c r="AH214" s="24"/>
    </row>
    <row r="215" spans="1:34">
      <c r="A215" s="957"/>
      <c r="B215" s="958">
        <v>194</v>
      </c>
      <c r="C215" s="959" t="s">
        <v>107</v>
      </c>
      <c r="D215" s="958">
        <v>0</v>
      </c>
      <c r="E215" s="958">
        <v>9.84</v>
      </c>
      <c r="F215" s="960"/>
      <c r="G215" s="961"/>
      <c r="H215" s="962"/>
      <c r="I215" s="963"/>
      <c r="J215" s="964"/>
      <c r="K215" s="964">
        <v>25</v>
      </c>
      <c r="L215" s="962">
        <v>0</v>
      </c>
      <c r="M215" s="965" t="s">
        <v>106</v>
      </c>
      <c r="N215" s="966"/>
      <c r="O215" s="967"/>
      <c r="P215" s="958"/>
      <c r="Q215" s="958"/>
      <c r="R215" s="94"/>
      <c r="S215" s="94"/>
      <c r="T215" s="94"/>
      <c r="U215" s="94"/>
      <c r="V215" s="94"/>
      <c r="W215" s="94"/>
      <c r="X215" s="94"/>
      <c r="Y215" s="94"/>
      <c r="Z215" s="94"/>
      <c r="AA215" s="24"/>
      <c r="AB215" s="24"/>
      <c r="AC215" s="24"/>
      <c r="AD215" s="24"/>
      <c r="AE215" s="24"/>
      <c r="AF215" s="24"/>
      <c r="AG215" s="24"/>
      <c r="AH215" s="24"/>
    </row>
    <row r="216" spans="1:34">
      <c r="A216" s="957"/>
      <c r="B216" s="958">
        <v>195</v>
      </c>
      <c r="C216" s="959" t="s">
        <v>105</v>
      </c>
      <c r="D216" s="958">
        <v>-1</v>
      </c>
      <c r="E216" s="958">
        <v>1.83</v>
      </c>
      <c r="F216" s="960">
        <v>4.3899999999999997</v>
      </c>
      <c r="G216" s="961"/>
      <c r="H216" s="962"/>
      <c r="I216" s="963"/>
      <c r="J216" s="964"/>
      <c r="K216" s="964">
        <v>25</v>
      </c>
      <c r="L216" s="962">
        <v>0</v>
      </c>
      <c r="M216" s="965" t="s">
        <v>104</v>
      </c>
      <c r="N216" s="966"/>
      <c r="O216" s="967"/>
      <c r="P216" s="958"/>
      <c r="Q216" s="958"/>
      <c r="R216" s="94"/>
      <c r="S216" s="94"/>
      <c r="T216" s="94"/>
      <c r="U216" s="94"/>
      <c r="V216" s="94"/>
      <c r="W216" s="94"/>
      <c r="X216" s="94"/>
      <c r="Y216" s="94"/>
      <c r="Z216" s="94"/>
      <c r="AA216" s="24"/>
      <c r="AB216" s="24"/>
      <c r="AC216" s="24"/>
      <c r="AD216" s="24"/>
      <c r="AE216" s="24"/>
      <c r="AF216" s="24"/>
      <c r="AG216" s="24"/>
      <c r="AH216" s="24"/>
    </row>
    <row r="217" spans="1:34">
      <c r="A217" s="957"/>
      <c r="B217" s="958">
        <v>196</v>
      </c>
      <c r="C217" s="959" t="s">
        <v>125</v>
      </c>
      <c r="D217" s="958">
        <v>-3</v>
      </c>
      <c r="E217" s="958">
        <v>2.1480000000000001</v>
      </c>
      <c r="F217" s="960">
        <v>7.1989999999999998</v>
      </c>
      <c r="G217" s="961">
        <v>12.35</v>
      </c>
      <c r="H217" s="962"/>
      <c r="I217" s="963"/>
      <c r="J217" s="964"/>
      <c r="K217" s="964">
        <v>25</v>
      </c>
      <c r="L217" s="962">
        <v>0</v>
      </c>
      <c r="M217" s="965" t="s">
        <v>145</v>
      </c>
      <c r="N217" s="966"/>
      <c r="O217" s="967"/>
      <c r="P217" s="958"/>
      <c r="Q217" s="958"/>
      <c r="R217" s="94"/>
      <c r="S217" s="94"/>
      <c r="T217" s="94"/>
      <c r="U217" s="94"/>
      <c r="V217" s="94"/>
      <c r="W217" s="94"/>
      <c r="X217" s="94"/>
      <c r="Y217" s="94"/>
      <c r="Z217" s="94"/>
      <c r="AA217" s="24"/>
      <c r="AB217" s="24"/>
      <c r="AC217" s="24"/>
      <c r="AD217" s="24"/>
      <c r="AE217" s="24"/>
      <c r="AF217" s="24"/>
      <c r="AG217" s="24"/>
      <c r="AH217" s="24"/>
    </row>
    <row r="218" spans="1:34">
      <c r="A218" s="957"/>
      <c r="B218" s="958">
        <v>197</v>
      </c>
      <c r="C218" s="959" t="s">
        <v>94</v>
      </c>
      <c r="D218" s="958">
        <v>-2</v>
      </c>
      <c r="E218" s="958">
        <v>3.7</v>
      </c>
      <c r="F218" s="960">
        <v>4.5999999999999996</v>
      </c>
      <c r="G218" s="961"/>
      <c r="H218" s="962"/>
      <c r="I218" s="963"/>
      <c r="J218" s="964"/>
      <c r="K218" s="964">
        <v>25</v>
      </c>
      <c r="L218" s="962">
        <v>0</v>
      </c>
      <c r="M218" s="965" t="s">
        <v>93</v>
      </c>
      <c r="N218" s="966">
        <v>166.14</v>
      </c>
      <c r="O218" s="967"/>
      <c r="P218" s="958"/>
      <c r="Q218" s="958"/>
      <c r="R218" s="94"/>
      <c r="S218" s="94"/>
      <c r="T218" s="94"/>
      <c r="U218" s="94"/>
      <c r="V218" s="94"/>
      <c r="W218" s="94"/>
      <c r="X218" s="94"/>
      <c r="Y218" s="94"/>
      <c r="Z218" s="94"/>
      <c r="AA218" s="24"/>
      <c r="AB218" s="24"/>
      <c r="AC218" s="24"/>
      <c r="AD218" s="24"/>
      <c r="AE218" s="24"/>
      <c r="AF218" s="24"/>
      <c r="AG218" s="24"/>
      <c r="AH218" s="24"/>
    </row>
    <row r="219" spans="1:34">
      <c r="A219" s="957"/>
      <c r="B219" s="958">
        <v>198</v>
      </c>
      <c r="C219" s="959" t="s">
        <v>226</v>
      </c>
      <c r="D219" s="958">
        <v>-2</v>
      </c>
      <c r="E219" s="958">
        <v>2.76</v>
      </c>
      <c r="F219" s="960">
        <v>4.96</v>
      </c>
      <c r="G219" s="961"/>
      <c r="H219" s="962"/>
      <c r="I219" s="963"/>
      <c r="J219" s="964"/>
      <c r="K219" s="964">
        <v>25</v>
      </c>
      <c r="L219" s="962">
        <v>0</v>
      </c>
      <c r="M219" s="965" t="s">
        <v>93</v>
      </c>
      <c r="N219" s="966">
        <v>166.14</v>
      </c>
      <c r="O219" s="967"/>
      <c r="P219" s="958"/>
      <c r="Q219" s="958"/>
      <c r="R219" s="94"/>
      <c r="S219" s="94"/>
      <c r="T219" s="94"/>
      <c r="U219" s="94"/>
      <c r="V219" s="94"/>
      <c r="W219" s="94"/>
      <c r="X219" s="94"/>
      <c r="Y219" s="94"/>
      <c r="Z219" s="94"/>
      <c r="AA219" s="24"/>
      <c r="AB219" s="24"/>
      <c r="AC219" s="24"/>
      <c r="AD219" s="24"/>
      <c r="AE219" s="24"/>
      <c r="AF219" s="24"/>
      <c r="AG219" s="24"/>
      <c r="AH219" s="24"/>
    </row>
    <row r="220" spans="1:34">
      <c r="A220" s="957"/>
      <c r="B220" s="958">
        <v>199</v>
      </c>
      <c r="C220" s="959" t="s">
        <v>95</v>
      </c>
      <c r="D220" s="958">
        <v>-2</v>
      </c>
      <c r="E220" s="958">
        <v>3.54</v>
      </c>
      <c r="F220" s="960">
        <v>4.46</v>
      </c>
      <c r="G220" s="961"/>
      <c r="H220" s="962"/>
      <c r="I220" s="963"/>
      <c r="J220" s="964"/>
      <c r="K220" s="964">
        <v>25</v>
      </c>
      <c r="L220" s="962">
        <v>0</v>
      </c>
      <c r="M220" s="965" t="s">
        <v>93</v>
      </c>
      <c r="N220" s="966"/>
      <c r="O220" s="967"/>
      <c r="P220" s="958"/>
      <c r="Q220" s="958"/>
      <c r="R220" s="94"/>
      <c r="S220" s="94"/>
      <c r="T220" s="94"/>
      <c r="U220" s="94"/>
      <c r="V220" s="94"/>
      <c r="W220" s="94"/>
      <c r="X220" s="94"/>
      <c r="Y220" s="94"/>
      <c r="Z220" s="94"/>
      <c r="AA220" s="24"/>
      <c r="AB220" s="24"/>
      <c r="AC220" s="24"/>
      <c r="AD220" s="24"/>
      <c r="AE220" s="24"/>
      <c r="AF220" s="24"/>
      <c r="AG220" s="24"/>
      <c r="AH220" s="24"/>
    </row>
    <row r="221" spans="1:34">
      <c r="A221" s="957"/>
      <c r="B221" s="958">
        <v>200</v>
      </c>
      <c r="C221" s="959" t="s">
        <v>470</v>
      </c>
      <c r="D221" s="958">
        <v>-2</v>
      </c>
      <c r="E221" s="958">
        <v>1.07</v>
      </c>
      <c r="F221" s="960">
        <v>5.25</v>
      </c>
      <c r="G221" s="961"/>
      <c r="H221" s="962"/>
      <c r="I221" s="963"/>
      <c r="J221" s="964"/>
      <c r="K221" s="964">
        <v>25</v>
      </c>
      <c r="L221" s="962">
        <v>0</v>
      </c>
      <c r="M221" s="965" t="s">
        <v>469</v>
      </c>
      <c r="N221" s="966"/>
      <c r="O221" s="967"/>
      <c r="P221" s="958"/>
      <c r="Q221" s="958"/>
      <c r="R221" s="94"/>
      <c r="S221" s="94"/>
      <c r="T221" s="94"/>
      <c r="U221" s="94"/>
      <c r="V221" s="94"/>
      <c r="W221" s="94"/>
      <c r="X221" s="94"/>
      <c r="Y221" s="94"/>
      <c r="Z221" s="94"/>
      <c r="AA221" s="24"/>
      <c r="AB221" s="24"/>
      <c r="AC221" s="24"/>
      <c r="AD221" s="24"/>
      <c r="AE221" s="24"/>
      <c r="AF221" s="24"/>
      <c r="AG221" s="24"/>
      <c r="AH221" s="24"/>
    </row>
    <row r="222" spans="1:34">
      <c r="A222" s="957"/>
      <c r="B222" s="958">
        <v>201</v>
      </c>
      <c r="C222" s="959" t="s">
        <v>462</v>
      </c>
      <c r="D222" s="958">
        <v>-1</v>
      </c>
      <c r="E222" s="958">
        <v>0.38</v>
      </c>
      <c r="F222" s="960"/>
      <c r="G222" s="961"/>
      <c r="H222" s="962"/>
      <c r="I222" s="963"/>
      <c r="J222" s="964"/>
      <c r="K222" s="964"/>
      <c r="L222" s="962"/>
      <c r="M222" s="965" t="s">
        <v>461</v>
      </c>
      <c r="N222" s="966"/>
      <c r="O222" s="967"/>
      <c r="P222" s="958"/>
      <c r="Q222" s="958"/>
      <c r="R222" s="94"/>
      <c r="S222" s="94"/>
      <c r="T222" s="94"/>
      <c r="U222" s="94"/>
      <c r="V222" s="94"/>
      <c r="W222" s="94"/>
      <c r="X222" s="94"/>
      <c r="Y222" s="94"/>
      <c r="Z222" s="94"/>
      <c r="AA222" s="24"/>
      <c r="AB222" s="24"/>
      <c r="AC222" s="24"/>
      <c r="AD222" s="24"/>
      <c r="AE222" s="24"/>
      <c r="AF222" s="24"/>
      <c r="AG222" s="24"/>
      <c r="AH222" s="24"/>
    </row>
    <row r="223" spans="1:34">
      <c r="A223" s="957"/>
      <c r="B223" s="958">
        <v>202</v>
      </c>
      <c r="C223" s="959" t="s">
        <v>287</v>
      </c>
      <c r="D223" s="958">
        <v>0</v>
      </c>
      <c r="E223" s="958">
        <v>6.87</v>
      </c>
      <c r="F223" s="960"/>
      <c r="G223" s="961"/>
      <c r="H223" s="962"/>
      <c r="I223" s="963"/>
      <c r="J223" s="964"/>
      <c r="K223" s="964">
        <v>30</v>
      </c>
      <c r="L223" s="962">
        <v>0</v>
      </c>
      <c r="M223" s="965" t="s">
        <v>286</v>
      </c>
      <c r="N223" s="966">
        <v>208.25899999999999</v>
      </c>
      <c r="O223" s="967"/>
      <c r="P223" s="958"/>
      <c r="Q223" s="958"/>
      <c r="R223" s="94"/>
      <c r="S223" s="94"/>
      <c r="T223" s="94"/>
      <c r="U223" s="94"/>
      <c r="V223" s="94"/>
      <c r="W223" s="94"/>
      <c r="X223" s="94"/>
      <c r="Y223" s="94"/>
      <c r="Z223" s="94"/>
      <c r="AA223" s="24"/>
      <c r="AB223" s="24"/>
      <c r="AC223" s="24"/>
      <c r="AD223" s="24"/>
      <c r="AE223" s="24"/>
      <c r="AF223" s="24"/>
      <c r="AG223" s="24"/>
      <c r="AH223" s="24"/>
    </row>
    <row r="224" spans="1:34">
      <c r="A224" s="957"/>
      <c r="B224" s="958">
        <v>203</v>
      </c>
      <c r="C224" s="959" t="s">
        <v>428</v>
      </c>
      <c r="D224" s="958">
        <v>0</v>
      </c>
      <c r="E224" s="960">
        <v>5.56</v>
      </c>
      <c r="F224" s="958">
        <v>9.83</v>
      </c>
      <c r="G224" s="962"/>
      <c r="H224" s="962"/>
      <c r="I224" s="963"/>
      <c r="J224" s="964"/>
      <c r="K224" s="964">
        <v>23</v>
      </c>
      <c r="L224" s="962">
        <v>0</v>
      </c>
      <c r="M224" s="965" t="s">
        <v>427</v>
      </c>
      <c r="N224" s="966"/>
      <c r="O224" s="967"/>
      <c r="P224" s="958"/>
      <c r="Q224" s="958"/>
      <c r="R224" s="94"/>
      <c r="S224" s="94"/>
      <c r="T224" s="94"/>
      <c r="U224" s="94"/>
      <c r="V224" s="94"/>
      <c r="W224" s="94"/>
      <c r="X224" s="94"/>
      <c r="Y224" s="94"/>
      <c r="Z224" s="94"/>
      <c r="AA224" s="24"/>
      <c r="AB224" s="24"/>
      <c r="AC224" s="24"/>
      <c r="AD224" s="24"/>
      <c r="AE224" s="24"/>
      <c r="AF224" s="24"/>
      <c r="AG224" s="24"/>
      <c r="AH224" s="24"/>
    </row>
    <row r="225" spans="1:34">
      <c r="A225" s="957"/>
      <c r="B225" s="958">
        <v>204</v>
      </c>
      <c r="C225" s="959" t="s">
        <v>227</v>
      </c>
      <c r="D225" s="958">
        <v>0</v>
      </c>
      <c r="E225" s="960">
        <v>7.53</v>
      </c>
      <c r="F225" s="958">
        <v>11.122999999999999</v>
      </c>
      <c r="G225" s="962"/>
      <c r="H225" s="962"/>
      <c r="I225" s="963"/>
      <c r="J225" s="964"/>
      <c r="K225" s="964">
        <v>25</v>
      </c>
      <c r="L225" s="962">
        <v>0</v>
      </c>
      <c r="M225" s="965" t="s">
        <v>228</v>
      </c>
      <c r="N225" s="966">
        <v>85.15</v>
      </c>
      <c r="O225" s="967"/>
      <c r="P225" s="958"/>
      <c r="Q225" s="958"/>
      <c r="R225" s="94"/>
      <c r="S225" s="94"/>
      <c r="T225" s="94"/>
      <c r="U225" s="94"/>
      <c r="V225" s="94"/>
      <c r="W225" s="94"/>
      <c r="X225" s="94"/>
      <c r="Y225" s="94"/>
      <c r="Z225" s="94"/>
      <c r="AA225" s="24"/>
      <c r="AB225" s="24"/>
      <c r="AC225" s="24"/>
      <c r="AD225" s="24"/>
      <c r="AE225" s="24"/>
      <c r="AF225" s="24"/>
      <c r="AG225" s="24"/>
      <c r="AH225" s="24"/>
    </row>
    <row r="226" spans="1:34">
      <c r="A226" s="957"/>
      <c r="B226" s="958">
        <v>205</v>
      </c>
      <c r="C226" s="959" t="s">
        <v>111</v>
      </c>
      <c r="D226" s="958">
        <v>0</v>
      </c>
      <c r="E226" s="958">
        <v>5.2</v>
      </c>
      <c r="F226" s="960"/>
      <c r="G226" s="961"/>
      <c r="H226" s="962"/>
      <c r="I226" s="963"/>
      <c r="J226" s="964"/>
      <c r="K226" s="964">
        <v>28</v>
      </c>
      <c r="L226" s="962">
        <v>0</v>
      </c>
      <c r="M226" s="965" t="s">
        <v>108</v>
      </c>
      <c r="N226" s="966"/>
      <c r="O226" s="967"/>
      <c r="P226" s="958"/>
      <c r="Q226" s="958"/>
      <c r="R226" s="94"/>
      <c r="S226" s="94"/>
      <c r="T226" s="94"/>
      <c r="U226" s="94"/>
      <c r="V226" s="94"/>
      <c r="W226" s="94"/>
      <c r="X226" s="94"/>
      <c r="Y226" s="94"/>
      <c r="Z226" s="94"/>
      <c r="AA226" s="24"/>
      <c r="AB226" s="24"/>
      <c r="AC226" s="24"/>
      <c r="AD226" s="24"/>
      <c r="AE226" s="24"/>
      <c r="AF226" s="24"/>
      <c r="AG226" s="24"/>
      <c r="AH226" s="24"/>
    </row>
    <row r="227" spans="1:34">
      <c r="A227" s="957"/>
      <c r="B227" s="958">
        <v>206</v>
      </c>
      <c r="C227" s="959" t="s">
        <v>229</v>
      </c>
      <c r="D227" s="958">
        <v>-1</v>
      </c>
      <c r="E227" s="958">
        <v>1.952</v>
      </c>
      <c r="F227" s="960">
        <v>10.64</v>
      </c>
      <c r="G227" s="961"/>
      <c r="H227" s="962"/>
      <c r="I227" s="963"/>
      <c r="J227" s="964"/>
      <c r="K227" s="964">
        <v>25</v>
      </c>
      <c r="L227" s="962">
        <v>0</v>
      </c>
      <c r="M227" s="965" t="s">
        <v>230</v>
      </c>
      <c r="N227" s="966">
        <v>115.13</v>
      </c>
      <c r="O227" s="967"/>
      <c r="P227" s="958"/>
      <c r="Q227" s="958"/>
      <c r="R227" s="94"/>
      <c r="S227" s="94"/>
      <c r="T227" s="94"/>
      <c r="U227" s="94"/>
      <c r="V227" s="94"/>
      <c r="W227" s="94"/>
      <c r="X227" s="94"/>
      <c r="Y227" s="94"/>
      <c r="Z227" s="94"/>
      <c r="AA227" s="24"/>
      <c r="AB227" s="24"/>
      <c r="AC227" s="24"/>
      <c r="AD227" s="24"/>
      <c r="AE227" s="24"/>
      <c r="AF227" s="24"/>
      <c r="AG227" s="24"/>
      <c r="AH227" s="24"/>
    </row>
    <row r="228" spans="1:34">
      <c r="A228" s="957"/>
      <c r="B228" s="958">
        <v>207</v>
      </c>
      <c r="C228" s="959" t="s">
        <v>231</v>
      </c>
      <c r="D228" s="958">
        <v>-1</v>
      </c>
      <c r="E228" s="958">
        <v>4.8739999999999997</v>
      </c>
      <c r="F228" s="960"/>
      <c r="G228" s="961"/>
      <c r="H228" s="962"/>
      <c r="I228" s="963"/>
      <c r="J228" s="964"/>
      <c r="K228" s="964">
        <v>25</v>
      </c>
      <c r="L228" s="962">
        <v>0</v>
      </c>
      <c r="M228" s="965" t="s">
        <v>232</v>
      </c>
      <c r="N228" s="966"/>
      <c r="O228" s="967"/>
      <c r="P228" s="958"/>
      <c r="Q228" s="958"/>
      <c r="R228" s="94"/>
      <c r="S228" s="94"/>
      <c r="T228" s="94"/>
      <c r="U228" s="94"/>
      <c r="V228" s="94"/>
      <c r="W228" s="94"/>
      <c r="X228" s="94"/>
      <c r="Y228" s="94"/>
      <c r="Z228" s="94"/>
      <c r="AA228" s="24"/>
      <c r="AB228" s="24"/>
      <c r="AC228" s="24"/>
      <c r="AD228" s="24"/>
      <c r="AE228" s="24"/>
      <c r="AF228" s="24"/>
      <c r="AG228" s="24"/>
      <c r="AH228" s="24"/>
    </row>
    <row r="229" spans="1:34">
      <c r="A229" s="957"/>
      <c r="B229" s="958">
        <v>208</v>
      </c>
      <c r="C229" s="959" t="s">
        <v>233</v>
      </c>
      <c r="D229" s="958">
        <v>0</v>
      </c>
      <c r="E229" s="958">
        <v>10.566000000000001</v>
      </c>
      <c r="F229" s="960"/>
      <c r="G229" s="961"/>
      <c r="H229" s="962"/>
      <c r="I229" s="963"/>
      <c r="J229" s="964"/>
      <c r="K229" s="964">
        <v>25</v>
      </c>
      <c r="L229" s="962">
        <v>0</v>
      </c>
      <c r="M229" s="965" t="s">
        <v>234</v>
      </c>
      <c r="N229" s="966"/>
      <c r="O229" s="967"/>
      <c r="P229" s="958"/>
      <c r="Q229" s="958"/>
      <c r="R229" s="94"/>
      <c r="S229" s="94"/>
      <c r="T229" s="94"/>
      <c r="U229" s="94"/>
      <c r="V229" s="94"/>
      <c r="W229" s="94"/>
      <c r="X229" s="94"/>
      <c r="Y229" s="94"/>
      <c r="Z229" s="94"/>
      <c r="AA229" s="24"/>
      <c r="AB229" s="24"/>
      <c r="AC229" s="24"/>
      <c r="AD229" s="24"/>
      <c r="AE229" s="24"/>
      <c r="AF229" s="24"/>
      <c r="AG229" s="24"/>
      <c r="AH229" s="24"/>
    </row>
    <row r="230" spans="1:34">
      <c r="A230" s="957"/>
      <c r="B230" s="958">
        <v>209</v>
      </c>
      <c r="C230" s="959" t="s">
        <v>436</v>
      </c>
      <c r="D230" s="958">
        <v>0</v>
      </c>
      <c r="E230" s="958">
        <v>2.2999999999999998</v>
      </c>
      <c r="F230" s="960">
        <v>8.9600000000000009</v>
      </c>
      <c r="G230" s="961"/>
      <c r="H230" s="962"/>
      <c r="I230" s="963"/>
      <c r="J230" s="964"/>
      <c r="K230" s="964">
        <v>20</v>
      </c>
      <c r="L230" s="962">
        <v>0</v>
      </c>
      <c r="M230" s="965" t="s">
        <v>435</v>
      </c>
      <c r="N230" s="966">
        <v>120.11</v>
      </c>
      <c r="O230" s="967"/>
      <c r="P230" s="958"/>
      <c r="Q230" s="958"/>
      <c r="R230" s="94"/>
      <c r="S230" s="94"/>
      <c r="T230" s="94"/>
      <c r="U230" s="94"/>
      <c r="V230" s="94"/>
      <c r="W230" s="94"/>
      <c r="X230" s="94"/>
      <c r="Y230" s="94"/>
      <c r="Z230" s="94"/>
      <c r="AA230" s="24"/>
      <c r="AB230" s="24"/>
      <c r="AC230" s="24"/>
      <c r="AD230" s="24"/>
      <c r="AE230" s="24"/>
      <c r="AF230" s="24"/>
      <c r="AG230" s="24"/>
      <c r="AH230" s="24"/>
    </row>
    <row r="231" spans="1:34">
      <c r="A231" s="957"/>
      <c r="B231" s="958">
        <v>210</v>
      </c>
      <c r="C231" s="959" t="s">
        <v>235</v>
      </c>
      <c r="D231" s="958">
        <v>0</v>
      </c>
      <c r="E231" s="958">
        <v>5.2290000000000001</v>
      </c>
      <c r="F231" s="960"/>
      <c r="G231" s="961"/>
      <c r="H231" s="962"/>
      <c r="I231" s="963"/>
      <c r="J231" s="964"/>
      <c r="K231" s="964">
        <v>25</v>
      </c>
      <c r="L231" s="962">
        <v>0</v>
      </c>
      <c r="M231" s="965" t="s">
        <v>236</v>
      </c>
      <c r="N231" s="966">
        <v>79.099999999999994</v>
      </c>
      <c r="O231" s="967"/>
      <c r="P231" s="958"/>
      <c r="Q231" s="958"/>
      <c r="R231" s="94"/>
      <c r="S231" s="94"/>
      <c r="T231" s="94"/>
      <c r="U231" s="94"/>
      <c r="V231" s="94"/>
      <c r="W231" s="94"/>
      <c r="X231" s="94"/>
      <c r="Y231" s="94"/>
      <c r="Z231" s="94"/>
      <c r="AA231" s="24"/>
      <c r="AB231" s="24"/>
      <c r="AC231" s="24"/>
      <c r="AD231" s="24"/>
      <c r="AE231" s="24"/>
      <c r="AF231" s="24"/>
      <c r="AG231" s="24"/>
      <c r="AH231" s="24"/>
    </row>
    <row r="232" spans="1:34">
      <c r="A232" s="957"/>
      <c r="B232" s="958">
        <v>211</v>
      </c>
      <c r="C232" s="959" t="s">
        <v>471</v>
      </c>
      <c r="D232" s="958">
        <v>-1</v>
      </c>
      <c r="E232" s="958">
        <v>4.8499999999999996</v>
      </c>
      <c r="F232" s="960"/>
      <c r="G232" s="961"/>
      <c r="H232" s="962"/>
      <c r="I232" s="963"/>
      <c r="J232" s="964"/>
      <c r="K232" s="964">
        <v>25</v>
      </c>
      <c r="L232" s="962">
        <v>0</v>
      </c>
      <c r="M232" s="965" t="s">
        <v>469</v>
      </c>
      <c r="N232" s="966"/>
      <c r="O232" s="967"/>
      <c r="P232" s="958"/>
      <c r="Q232" s="958"/>
      <c r="R232" s="94"/>
      <c r="S232" s="94"/>
      <c r="T232" s="94"/>
      <c r="U232" s="94"/>
      <c r="V232" s="94"/>
      <c r="W232" s="94"/>
      <c r="X232" s="94"/>
      <c r="Y232" s="94"/>
      <c r="Z232" s="94"/>
      <c r="AA232" s="24"/>
      <c r="AB232" s="24"/>
      <c r="AC232" s="24"/>
      <c r="AD232" s="24"/>
      <c r="AE232" s="24"/>
      <c r="AF232" s="24"/>
      <c r="AG232" s="24"/>
      <c r="AH232" s="24"/>
    </row>
    <row r="233" spans="1:34">
      <c r="A233" s="957"/>
      <c r="B233" s="958">
        <v>212</v>
      </c>
      <c r="C233" s="959" t="s">
        <v>472</v>
      </c>
      <c r="D233" s="958">
        <v>-1</v>
      </c>
      <c r="E233" s="958">
        <v>4.96</v>
      </c>
      <c r="F233" s="960"/>
      <c r="G233" s="961"/>
      <c r="H233" s="962"/>
      <c r="I233" s="963"/>
      <c r="J233" s="964"/>
      <c r="K233" s="964">
        <v>25</v>
      </c>
      <c r="L233" s="962">
        <v>0</v>
      </c>
      <c r="M233" s="965" t="s">
        <v>469</v>
      </c>
      <c r="N233" s="966"/>
      <c r="O233" s="967"/>
      <c r="P233" s="958"/>
      <c r="Q233" s="958"/>
      <c r="R233" s="94"/>
      <c r="S233" s="94"/>
      <c r="T233" s="94"/>
      <c r="U233" s="94"/>
      <c r="V233" s="94"/>
      <c r="W233" s="94"/>
      <c r="X233" s="94"/>
      <c r="Y233" s="94"/>
      <c r="Z233" s="94"/>
      <c r="AA233" s="24"/>
      <c r="AB233" s="24"/>
      <c r="AC233" s="24"/>
      <c r="AD233" s="24"/>
      <c r="AE233" s="24"/>
      <c r="AF233" s="24"/>
      <c r="AG233" s="24"/>
      <c r="AH233" s="24"/>
    </row>
    <row r="234" spans="1:34">
      <c r="A234" s="957"/>
      <c r="B234" s="958">
        <v>213</v>
      </c>
      <c r="C234" s="959" t="s">
        <v>237</v>
      </c>
      <c r="D234" s="958">
        <v>0</v>
      </c>
      <c r="E234" s="958">
        <v>1.1000000000000001</v>
      </c>
      <c r="F234" s="960"/>
      <c r="G234" s="961"/>
      <c r="H234" s="962"/>
      <c r="I234" s="963"/>
      <c r="J234" s="964"/>
      <c r="K234" s="964">
        <v>20</v>
      </c>
      <c r="L234" s="962">
        <v>0</v>
      </c>
      <c r="M234" s="965" t="s">
        <v>1137</v>
      </c>
      <c r="N234" s="966">
        <v>80.087999999999994</v>
      </c>
      <c r="O234" s="967"/>
      <c r="P234" s="958"/>
      <c r="Q234" s="958"/>
      <c r="R234" s="94"/>
      <c r="S234" s="94"/>
      <c r="T234" s="94"/>
      <c r="U234" s="94"/>
      <c r="V234" s="94"/>
      <c r="W234" s="94"/>
      <c r="X234" s="94"/>
      <c r="Y234" s="94"/>
      <c r="Z234" s="94"/>
      <c r="AA234" s="24"/>
      <c r="AB234" s="24"/>
      <c r="AC234" s="24"/>
      <c r="AD234" s="24"/>
      <c r="AE234" s="24"/>
      <c r="AF234" s="24"/>
      <c r="AG234" s="24"/>
      <c r="AH234" s="24"/>
    </row>
    <row r="235" spans="1:34">
      <c r="A235" s="957"/>
      <c r="B235" s="958">
        <v>214</v>
      </c>
      <c r="C235" s="959" t="s">
        <v>485</v>
      </c>
      <c r="D235" s="958">
        <v>-2</v>
      </c>
      <c r="E235" s="958">
        <v>9.4</v>
      </c>
      <c r="F235" s="960">
        <v>12.8</v>
      </c>
      <c r="G235" s="961"/>
      <c r="H235" s="962"/>
      <c r="I235" s="963"/>
      <c r="J235" s="964"/>
      <c r="K235" s="964">
        <v>20</v>
      </c>
      <c r="L235" s="962">
        <v>0</v>
      </c>
      <c r="M235" s="965" t="s">
        <v>483</v>
      </c>
      <c r="N235" s="966">
        <v>110.1</v>
      </c>
      <c r="O235" s="967"/>
      <c r="P235" s="958"/>
      <c r="Q235" s="958"/>
      <c r="R235" s="94"/>
      <c r="S235" s="94"/>
      <c r="T235" s="94"/>
      <c r="U235" s="94"/>
      <c r="V235" s="94"/>
      <c r="W235" s="94"/>
      <c r="X235" s="94"/>
      <c r="Y235" s="94"/>
      <c r="Z235" s="94"/>
      <c r="AA235" s="24"/>
      <c r="AB235" s="24"/>
      <c r="AC235" s="24"/>
      <c r="AD235" s="24"/>
      <c r="AE235" s="24"/>
      <c r="AF235" s="24"/>
      <c r="AG235" s="24"/>
      <c r="AH235" s="24"/>
    </row>
    <row r="236" spans="1:34">
      <c r="A236" s="957"/>
      <c r="B236" s="958">
        <v>215</v>
      </c>
      <c r="C236" s="959" t="s">
        <v>360</v>
      </c>
      <c r="D236" s="958">
        <v>-4</v>
      </c>
      <c r="E236" s="958">
        <v>1.52</v>
      </c>
      <c r="F236" s="960">
        <v>2.36</v>
      </c>
      <c r="G236" s="961">
        <v>6.6</v>
      </c>
      <c r="H236" s="962">
        <v>9.25</v>
      </c>
      <c r="I236" s="963"/>
      <c r="J236" s="964"/>
      <c r="K236" s="964"/>
      <c r="L236" s="962"/>
      <c r="M236" s="965" t="s">
        <v>361</v>
      </c>
      <c r="N236" s="966">
        <v>177.98</v>
      </c>
      <c r="O236" s="967"/>
      <c r="P236" s="958"/>
      <c r="Q236" s="958"/>
      <c r="R236" s="94"/>
      <c r="S236" s="94"/>
      <c r="T236" s="94"/>
      <c r="U236" s="94"/>
      <c r="V236" s="94"/>
      <c r="W236" s="94"/>
      <c r="X236" s="94"/>
      <c r="Y236" s="94"/>
      <c r="Z236" s="94"/>
      <c r="AA236" s="24"/>
      <c r="AB236" s="24"/>
      <c r="AC236" s="24"/>
      <c r="AD236" s="24"/>
      <c r="AE236" s="24"/>
      <c r="AF236" s="24"/>
      <c r="AG236" s="24"/>
      <c r="AH236" s="24"/>
    </row>
    <row r="237" spans="1:34">
      <c r="A237" s="957"/>
      <c r="B237" s="958">
        <v>216</v>
      </c>
      <c r="C237" s="959" t="s">
        <v>422</v>
      </c>
      <c r="D237" s="958">
        <v>0</v>
      </c>
      <c r="E237" s="958">
        <v>11.27</v>
      </c>
      <c r="F237" s="960"/>
      <c r="G237" s="961"/>
      <c r="H237" s="962"/>
      <c r="I237" s="963"/>
      <c r="J237" s="964"/>
      <c r="K237" s="964">
        <v>25</v>
      </c>
      <c r="L237" s="962">
        <v>0</v>
      </c>
      <c r="M237" s="965" t="s">
        <v>421</v>
      </c>
      <c r="N237" s="966"/>
      <c r="O237" s="967"/>
      <c r="P237" s="958"/>
      <c r="Q237" s="958"/>
      <c r="R237" s="94"/>
      <c r="S237" s="94"/>
      <c r="T237" s="94"/>
      <c r="U237" s="94"/>
      <c r="V237" s="94"/>
      <c r="W237" s="94"/>
      <c r="X237" s="94"/>
      <c r="Y237" s="94"/>
      <c r="Z237" s="94"/>
      <c r="AA237" s="24"/>
      <c r="AB237" s="24"/>
      <c r="AC237" s="24"/>
      <c r="AD237" s="24"/>
      <c r="AE237" s="24"/>
      <c r="AF237" s="24"/>
      <c r="AG237" s="24"/>
      <c r="AH237" s="24"/>
    </row>
    <row r="238" spans="1:34">
      <c r="A238" s="957"/>
      <c r="B238" s="958">
        <v>217</v>
      </c>
      <c r="C238" s="959" t="s">
        <v>387</v>
      </c>
      <c r="D238" s="958">
        <v>-1</v>
      </c>
      <c r="E238" s="958">
        <v>2.39</v>
      </c>
      <c r="F238" s="960"/>
      <c r="G238" s="961"/>
      <c r="H238" s="962"/>
      <c r="I238" s="963"/>
      <c r="J238" s="964"/>
      <c r="K238" s="964">
        <v>25</v>
      </c>
      <c r="L238" s="962">
        <v>0</v>
      </c>
      <c r="M238" s="965" t="s">
        <v>386</v>
      </c>
      <c r="N238" s="966">
        <v>88.06</v>
      </c>
      <c r="O238" s="967"/>
      <c r="P238" s="958"/>
      <c r="Q238" s="958"/>
      <c r="R238" s="94"/>
      <c r="S238" s="94"/>
      <c r="T238" s="94"/>
      <c r="U238" s="94"/>
      <c r="V238" s="94"/>
      <c r="W238" s="94"/>
      <c r="X238" s="94"/>
      <c r="Y238" s="94"/>
      <c r="Z238" s="94"/>
      <c r="AA238" s="24"/>
      <c r="AB238" s="24"/>
      <c r="AC238" s="24"/>
      <c r="AD238" s="24"/>
      <c r="AE238" s="24"/>
      <c r="AF238" s="24"/>
      <c r="AG238" s="24"/>
      <c r="AH238" s="24"/>
    </row>
    <row r="239" spans="1:34">
      <c r="A239" s="957"/>
      <c r="B239" s="958">
        <v>218</v>
      </c>
      <c r="C239" s="959" t="s">
        <v>302</v>
      </c>
      <c r="D239" s="958">
        <v>0</v>
      </c>
      <c r="E239" s="960">
        <v>4.13</v>
      </c>
      <c r="F239" s="958">
        <v>8.52</v>
      </c>
      <c r="G239" s="962"/>
      <c r="H239" s="962"/>
      <c r="I239" s="963"/>
      <c r="J239" s="964"/>
      <c r="K239" s="964">
        <v>25</v>
      </c>
      <c r="L239" s="962">
        <v>0</v>
      </c>
      <c r="M239" s="965" t="s">
        <v>301</v>
      </c>
      <c r="N239" s="966">
        <v>324.42</v>
      </c>
      <c r="O239" s="967"/>
      <c r="P239" s="958"/>
      <c r="Q239" s="958"/>
      <c r="R239" s="94"/>
      <c r="S239" s="94"/>
      <c r="T239" s="94"/>
      <c r="U239" s="94"/>
      <c r="V239" s="94"/>
      <c r="W239" s="94"/>
      <c r="X239" s="94"/>
      <c r="Y239" s="94"/>
      <c r="Z239" s="94"/>
      <c r="AA239" s="24"/>
      <c r="AB239" s="24"/>
      <c r="AC239" s="24"/>
      <c r="AD239" s="24"/>
      <c r="AE239" s="24"/>
      <c r="AF239" s="24"/>
      <c r="AG239" s="24"/>
      <c r="AH239" s="24"/>
    </row>
    <row r="240" spans="1:34">
      <c r="A240" s="957"/>
      <c r="B240" s="958">
        <v>219</v>
      </c>
      <c r="C240" s="959" t="s">
        <v>123</v>
      </c>
      <c r="D240" s="958">
        <v>0</v>
      </c>
      <c r="E240" s="958">
        <v>4.9000000000000004</v>
      </c>
      <c r="F240" s="960"/>
      <c r="G240" s="961"/>
      <c r="H240" s="962"/>
      <c r="I240" s="963"/>
      <c r="J240" s="964"/>
      <c r="K240" s="964">
        <v>20</v>
      </c>
      <c r="L240" s="962">
        <v>0</v>
      </c>
      <c r="M240" s="965" t="s">
        <v>122</v>
      </c>
      <c r="N240" s="966">
        <v>129.16</v>
      </c>
      <c r="O240" s="967"/>
      <c r="P240" s="958"/>
      <c r="Q240" s="958"/>
      <c r="R240" s="94"/>
      <c r="S240" s="94"/>
      <c r="T240" s="94"/>
      <c r="U240" s="94"/>
      <c r="V240" s="94"/>
      <c r="W240" s="94"/>
      <c r="X240" s="94"/>
      <c r="Y240" s="94"/>
      <c r="Z240" s="94"/>
      <c r="AA240" s="24"/>
      <c r="AB240" s="24"/>
      <c r="AC240" s="24"/>
      <c r="AD240" s="24"/>
      <c r="AE240" s="24"/>
      <c r="AF240" s="24"/>
      <c r="AG240" s="24"/>
      <c r="AH240" s="24"/>
    </row>
    <row r="241" spans="1:34">
      <c r="A241" s="957"/>
      <c r="B241" s="958">
        <v>220</v>
      </c>
      <c r="C241" s="959" t="s">
        <v>238</v>
      </c>
      <c r="D241" s="958">
        <v>-2</v>
      </c>
      <c r="E241" s="958">
        <v>9.3000000000000007</v>
      </c>
      <c r="F241" s="960">
        <v>11.06</v>
      </c>
      <c r="G241" s="961"/>
      <c r="H241" s="962"/>
      <c r="I241" s="963"/>
      <c r="J241" s="964"/>
      <c r="K241" s="964">
        <v>25</v>
      </c>
      <c r="L241" s="962">
        <v>0</v>
      </c>
      <c r="M241" s="965" t="s">
        <v>483</v>
      </c>
      <c r="N241" s="966">
        <v>110.1</v>
      </c>
      <c r="O241" s="967"/>
      <c r="P241" s="958"/>
      <c r="Q241" s="958"/>
      <c r="R241" s="94"/>
      <c r="S241" s="94"/>
      <c r="T241" s="94"/>
      <c r="U241" s="94"/>
      <c r="V241" s="94"/>
      <c r="W241" s="94"/>
      <c r="X241" s="94"/>
      <c r="Y241" s="94"/>
      <c r="Z241" s="94"/>
      <c r="AA241" s="24"/>
      <c r="AB241" s="24"/>
      <c r="AC241" s="24"/>
      <c r="AD241" s="24"/>
      <c r="AE241" s="24"/>
      <c r="AF241" s="24"/>
      <c r="AG241" s="24"/>
      <c r="AH241" s="24"/>
    </row>
    <row r="242" spans="1:34">
      <c r="A242" s="957"/>
      <c r="B242" s="958">
        <v>221</v>
      </c>
      <c r="C242" s="959" t="s">
        <v>68</v>
      </c>
      <c r="D242" s="958">
        <v>-1</v>
      </c>
      <c r="E242" s="958">
        <v>11.68</v>
      </c>
      <c r="F242" s="960"/>
      <c r="G242" s="961"/>
      <c r="H242" s="962"/>
      <c r="I242" s="963"/>
      <c r="J242" s="964"/>
      <c r="K242" s="964">
        <v>18</v>
      </c>
      <c r="L242" s="962">
        <v>0</v>
      </c>
      <c r="M242" s="965" t="s">
        <v>67</v>
      </c>
      <c r="N242" s="966"/>
      <c r="O242" s="967"/>
      <c r="P242" s="958"/>
      <c r="Q242" s="958"/>
      <c r="R242" s="94"/>
      <c r="S242" s="94"/>
      <c r="T242" s="94"/>
      <c r="U242" s="94"/>
      <c r="V242" s="94"/>
      <c r="W242" s="94"/>
      <c r="X242" s="94"/>
      <c r="Y242" s="94"/>
      <c r="Z242" s="94"/>
      <c r="AA242" s="24"/>
      <c r="AB242" s="24"/>
      <c r="AC242" s="24"/>
      <c r="AD242" s="24"/>
      <c r="AE242" s="24"/>
      <c r="AF242" s="24"/>
      <c r="AG242" s="24"/>
      <c r="AH242" s="24"/>
    </row>
    <row r="243" spans="1:34">
      <c r="A243" s="957"/>
      <c r="B243" s="958">
        <v>222</v>
      </c>
      <c r="C243" s="959" t="s">
        <v>239</v>
      </c>
      <c r="D243" s="958">
        <v>-2</v>
      </c>
      <c r="E243" s="958">
        <v>2.97</v>
      </c>
      <c r="F243" s="960">
        <v>13.74</v>
      </c>
      <c r="G243" s="961"/>
      <c r="H243" s="962"/>
      <c r="I243" s="963"/>
      <c r="J243" s="964"/>
      <c r="K243" s="964">
        <v>25</v>
      </c>
      <c r="L243" s="962">
        <v>0</v>
      </c>
      <c r="M243" s="965" t="s">
        <v>75</v>
      </c>
      <c r="N243" s="966">
        <v>138.12</v>
      </c>
      <c r="O243" s="967"/>
      <c r="P243" s="958"/>
      <c r="Q243" s="958"/>
      <c r="R243" s="94"/>
      <c r="S243" s="94"/>
      <c r="T243" s="94"/>
      <c r="U243" s="94"/>
      <c r="V243" s="94"/>
      <c r="W243" s="94"/>
      <c r="X243" s="94"/>
      <c r="Y243" s="94"/>
      <c r="Z243" s="94"/>
      <c r="AA243" s="24"/>
      <c r="AB243" s="24"/>
      <c r="AC243" s="24"/>
      <c r="AD243" s="24"/>
      <c r="AE243" s="24"/>
      <c r="AF243" s="24"/>
      <c r="AG243" s="24"/>
      <c r="AH243" s="24"/>
    </row>
    <row r="244" spans="1:34">
      <c r="A244" s="957"/>
      <c r="B244" s="958">
        <v>223</v>
      </c>
      <c r="C244" s="959" t="s">
        <v>240</v>
      </c>
      <c r="D244" s="958">
        <v>-1</v>
      </c>
      <c r="E244" s="958">
        <v>1.92</v>
      </c>
      <c r="F244" s="960"/>
      <c r="G244" s="961"/>
      <c r="H244" s="962"/>
      <c r="I244" s="963"/>
      <c r="J244" s="964"/>
      <c r="K244" s="964">
        <v>25</v>
      </c>
      <c r="L244" s="962">
        <v>0</v>
      </c>
      <c r="M244" s="965" t="s">
        <v>241</v>
      </c>
      <c r="N244" s="966"/>
      <c r="O244" s="967"/>
      <c r="P244" s="958"/>
      <c r="Q244" s="958"/>
      <c r="R244" s="94"/>
      <c r="S244" s="94"/>
      <c r="T244" s="94"/>
      <c r="U244" s="94"/>
      <c r="V244" s="94"/>
      <c r="W244" s="94"/>
      <c r="X244" s="94"/>
      <c r="Y244" s="94"/>
      <c r="Z244" s="94"/>
      <c r="AA244" s="24"/>
      <c r="AB244" s="24"/>
      <c r="AC244" s="24"/>
      <c r="AD244" s="24"/>
      <c r="AE244" s="24"/>
      <c r="AF244" s="24"/>
      <c r="AG244" s="24"/>
      <c r="AH244" s="24"/>
    </row>
    <row r="245" spans="1:34">
      <c r="A245" s="957"/>
      <c r="B245" s="958">
        <v>224</v>
      </c>
      <c r="C245" s="959" t="s">
        <v>242</v>
      </c>
      <c r="D245" s="958">
        <v>-2</v>
      </c>
      <c r="E245" s="958">
        <v>2.64</v>
      </c>
      <c r="F245" s="960">
        <v>8.2799999999999994</v>
      </c>
      <c r="G245" s="961"/>
      <c r="H245" s="962"/>
      <c r="I245" s="963"/>
      <c r="J245" s="964"/>
      <c r="K245" s="964"/>
      <c r="L245" s="962">
        <v>0</v>
      </c>
      <c r="M245" s="965" t="s">
        <v>362</v>
      </c>
      <c r="N245" s="966"/>
      <c r="O245" s="967"/>
      <c r="P245" s="958"/>
      <c r="Q245" s="958"/>
      <c r="R245" s="94"/>
      <c r="S245" s="94"/>
      <c r="T245" s="94"/>
      <c r="U245" s="94"/>
      <c r="V245" s="94"/>
      <c r="W245" s="94"/>
      <c r="X245" s="94"/>
      <c r="Y245" s="94"/>
      <c r="Z245" s="94"/>
      <c r="AA245" s="24"/>
      <c r="AB245" s="24"/>
      <c r="AC245" s="24"/>
      <c r="AD245" s="24"/>
      <c r="AE245" s="24"/>
      <c r="AF245" s="24"/>
      <c r="AG245" s="24"/>
      <c r="AH245" s="24"/>
    </row>
    <row r="246" spans="1:34">
      <c r="A246" s="957"/>
      <c r="B246" s="958">
        <v>225</v>
      </c>
      <c r="C246" s="959" t="s">
        <v>396</v>
      </c>
      <c r="D246" s="958">
        <v>-1</v>
      </c>
      <c r="E246" s="958">
        <v>2.19</v>
      </c>
      <c r="F246" s="960">
        <v>9.0500000000000007</v>
      </c>
      <c r="G246" s="961"/>
      <c r="H246" s="962"/>
      <c r="I246" s="963"/>
      <c r="J246" s="964"/>
      <c r="K246" s="964">
        <v>25</v>
      </c>
      <c r="L246" s="962">
        <v>0</v>
      </c>
      <c r="M246" s="965" t="s">
        <v>243</v>
      </c>
      <c r="N246" s="966">
        <v>105.09</v>
      </c>
      <c r="O246" s="967"/>
      <c r="P246" s="958"/>
      <c r="Q246" s="958"/>
      <c r="R246" s="94"/>
      <c r="S246" s="94"/>
      <c r="T246" s="94"/>
      <c r="U246" s="94"/>
      <c r="V246" s="94"/>
      <c r="W246" s="94"/>
      <c r="X246" s="94"/>
      <c r="Y246" s="94"/>
      <c r="Z246" s="94"/>
      <c r="AA246" s="24"/>
      <c r="AB246" s="24"/>
      <c r="AC246" s="24"/>
      <c r="AD246" s="24"/>
      <c r="AE246" s="24"/>
      <c r="AF246" s="24"/>
      <c r="AG246" s="24"/>
      <c r="AH246" s="24"/>
    </row>
    <row r="247" spans="1:34">
      <c r="A247" s="957"/>
      <c r="B247" s="958">
        <v>226</v>
      </c>
      <c r="C247" s="959" t="s">
        <v>244</v>
      </c>
      <c r="D247" s="958">
        <v>-2</v>
      </c>
      <c r="E247" s="958">
        <v>9.66</v>
      </c>
      <c r="F247" s="960">
        <v>11.7</v>
      </c>
      <c r="G247" s="961"/>
      <c r="H247" s="962"/>
      <c r="I247" s="963"/>
      <c r="J247" s="964"/>
      <c r="K247" s="964"/>
      <c r="L247" s="962"/>
      <c r="M247" s="965" t="s">
        <v>245</v>
      </c>
      <c r="N247" s="966"/>
      <c r="O247" s="967"/>
      <c r="P247" s="958"/>
      <c r="Q247" s="958"/>
      <c r="R247" s="94"/>
      <c r="S247" s="94"/>
      <c r="T247" s="94"/>
      <c r="U247" s="94"/>
      <c r="V247" s="94"/>
      <c r="W247" s="94"/>
      <c r="X247" s="94"/>
      <c r="Y247" s="94"/>
      <c r="Z247" s="94"/>
      <c r="AA247" s="24"/>
      <c r="AB247" s="24"/>
      <c r="AC247" s="24"/>
      <c r="AD247" s="24"/>
      <c r="AE247" s="24"/>
      <c r="AF247" s="24"/>
      <c r="AG247" s="24"/>
      <c r="AH247" s="24"/>
    </row>
    <row r="248" spans="1:34">
      <c r="A248" s="957"/>
      <c r="B248" s="958">
        <v>227</v>
      </c>
      <c r="C248" s="959" t="s">
        <v>246</v>
      </c>
      <c r="D248" s="958">
        <v>-2</v>
      </c>
      <c r="E248" s="958">
        <v>9.6999999999999993</v>
      </c>
      <c r="F248" s="960">
        <v>12</v>
      </c>
      <c r="G248" s="961"/>
      <c r="H248" s="962"/>
      <c r="I248" s="963"/>
      <c r="J248" s="964"/>
      <c r="K248" s="964"/>
      <c r="L248" s="962"/>
      <c r="M248" s="965" t="s">
        <v>247</v>
      </c>
      <c r="N248" s="966"/>
      <c r="O248" s="967"/>
      <c r="P248" s="958"/>
      <c r="Q248" s="958"/>
      <c r="R248" s="94"/>
      <c r="S248" s="94"/>
      <c r="T248" s="94"/>
      <c r="U248" s="94"/>
      <c r="V248" s="94"/>
      <c r="W248" s="94"/>
      <c r="X248" s="94"/>
      <c r="Y248" s="94"/>
      <c r="Z248" s="94"/>
      <c r="AA248" s="24"/>
      <c r="AB248" s="24"/>
      <c r="AC248" s="24"/>
      <c r="AD248" s="24"/>
      <c r="AE248" s="24"/>
      <c r="AF248" s="24"/>
      <c r="AG248" s="24"/>
      <c r="AH248" s="24"/>
    </row>
    <row r="249" spans="1:34">
      <c r="A249" s="957"/>
      <c r="B249" s="958">
        <v>228</v>
      </c>
      <c r="C249" s="959" t="s">
        <v>304</v>
      </c>
      <c r="D249" s="958">
        <v>0</v>
      </c>
      <c r="E249" s="958">
        <v>8.26</v>
      </c>
      <c r="F249" s="960"/>
      <c r="G249" s="961"/>
      <c r="H249" s="962"/>
      <c r="I249" s="963"/>
      <c r="J249" s="964"/>
      <c r="K249" s="964">
        <v>25</v>
      </c>
      <c r="L249" s="962">
        <v>0</v>
      </c>
      <c r="M249" s="965" t="s">
        <v>303</v>
      </c>
      <c r="N249" s="966">
        <v>334.41</v>
      </c>
      <c r="O249" s="967"/>
      <c r="P249" s="958"/>
      <c r="Q249" s="958"/>
      <c r="R249" s="94"/>
      <c r="S249" s="94"/>
      <c r="T249" s="94"/>
      <c r="U249" s="94"/>
      <c r="V249" s="94"/>
      <c r="W249" s="94"/>
      <c r="X249" s="94"/>
      <c r="Y249" s="94"/>
      <c r="Z249" s="94"/>
      <c r="AA249" s="24"/>
      <c r="AB249" s="24"/>
      <c r="AC249" s="24"/>
      <c r="AD249" s="24"/>
      <c r="AE249" s="24"/>
      <c r="AF249" s="24"/>
      <c r="AG249" s="24"/>
      <c r="AH249" s="24"/>
    </row>
    <row r="250" spans="1:34" ht="11.25" customHeight="1">
      <c r="A250" s="957"/>
      <c r="B250" s="958">
        <v>229</v>
      </c>
      <c r="C250" s="959" t="s">
        <v>248</v>
      </c>
      <c r="D250" s="958">
        <v>-2</v>
      </c>
      <c r="E250" s="958">
        <v>4.2069999999999999</v>
      </c>
      <c r="F250" s="960">
        <v>5.6360000000000001</v>
      </c>
      <c r="G250" s="961"/>
      <c r="H250" s="962"/>
      <c r="I250" s="963"/>
      <c r="J250" s="964"/>
      <c r="K250" s="964"/>
      <c r="L250" s="962"/>
      <c r="M250" s="965" t="s">
        <v>249</v>
      </c>
      <c r="N250" s="966">
        <v>118.09</v>
      </c>
      <c r="O250" s="967"/>
      <c r="P250" s="958"/>
      <c r="Q250" s="958"/>
      <c r="R250" s="94"/>
      <c r="S250" s="94"/>
      <c r="T250" s="94"/>
      <c r="U250" s="94"/>
      <c r="V250" s="94"/>
      <c r="W250" s="94"/>
      <c r="X250" s="94"/>
      <c r="Y250" s="94"/>
      <c r="Z250" s="94"/>
      <c r="AA250" s="24"/>
      <c r="AB250" s="24"/>
      <c r="AC250" s="24"/>
      <c r="AD250" s="24"/>
      <c r="AE250" s="24"/>
      <c r="AF250" s="24"/>
      <c r="AG250" s="24"/>
      <c r="AH250" s="24"/>
    </row>
    <row r="251" spans="1:34">
      <c r="A251" s="957"/>
      <c r="B251" s="958">
        <v>230</v>
      </c>
      <c r="C251" s="959" t="s">
        <v>250</v>
      </c>
      <c r="D251" s="958">
        <v>-2</v>
      </c>
      <c r="E251" s="968">
        <v>-3</v>
      </c>
      <c r="F251" s="960">
        <v>1.99</v>
      </c>
      <c r="G251" s="961"/>
      <c r="H251" s="962"/>
      <c r="I251" s="963"/>
      <c r="J251" s="964"/>
      <c r="K251" s="964">
        <v>25</v>
      </c>
      <c r="L251" s="962">
        <v>0</v>
      </c>
      <c r="M251" s="965" t="s">
        <v>363</v>
      </c>
      <c r="N251" s="966">
        <v>98.08</v>
      </c>
      <c r="O251" s="967"/>
      <c r="P251" s="958"/>
      <c r="Q251" s="958"/>
      <c r="R251" s="94"/>
      <c r="S251" s="94"/>
      <c r="T251" s="94"/>
      <c r="U251" s="94"/>
      <c r="V251" s="94"/>
      <c r="W251" s="94"/>
      <c r="X251" s="94"/>
      <c r="Y251" s="94"/>
      <c r="Z251" s="94"/>
      <c r="AA251" s="24"/>
      <c r="AB251" s="24"/>
      <c r="AC251" s="24"/>
      <c r="AD251" s="24"/>
      <c r="AE251" s="24"/>
      <c r="AF251" s="24"/>
      <c r="AG251" s="24"/>
      <c r="AH251" s="24"/>
    </row>
    <row r="252" spans="1:34">
      <c r="A252" s="957"/>
      <c r="B252" s="958">
        <v>231</v>
      </c>
      <c r="C252" s="959" t="s">
        <v>126</v>
      </c>
      <c r="D252" s="958">
        <v>-2</v>
      </c>
      <c r="E252" s="958">
        <v>1.91</v>
      </c>
      <c r="F252" s="960">
        <v>7.18</v>
      </c>
      <c r="G252" s="961"/>
      <c r="H252" s="962"/>
      <c r="I252" s="963"/>
      <c r="J252" s="964"/>
      <c r="K252" s="964">
        <v>25</v>
      </c>
      <c r="L252" s="962">
        <v>0</v>
      </c>
      <c r="M252" s="965" t="s">
        <v>251</v>
      </c>
      <c r="N252" s="966">
        <v>82.07</v>
      </c>
      <c r="O252" s="967"/>
      <c r="P252" s="958"/>
      <c r="Q252" s="958"/>
      <c r="R252" s="94"/>
      <c r="S252" s="94"/>
      <c r="T252" s="94"/>
      <c r="U252" s="94"/>
      <c r="V252" s="94"/>
      <c r="W252" s="94"/>
      <c r="X252" s="94"/>
      <c r="Y252" s="94"/>
      <c r="Z252" s="94"/>
      <c r="AA252" s="24"/>
      <c r="AB252" s="24"/>
      <c r="AC252" s="24"/>
      <c r="AD252" s="24"/>
      <c r="AE252" s="24"/>
      <c r="AF252" s="24"/>
      <c r="AG252" s="24"/>
      <c r="AH252" s="24"/>
    </row>
    <row r="253" spans="1:34">
      <c r="A253" s="957"/>
      <c r="B253" s="958">
        <v>232</v>
      </c>
      <c r="C253" s="959" t="s">
        <v>252</v>
      </c>
      <c r="D253" s="958">
        <v>-2</v>
      </c>
      <c r="E253" s="958">
        <v>3.036</v>
      </c>
      <c r="F253" s="960">
        <v>4.3659999999999997</v>
      </c>
      <c r="G253" s="961"/>
      <c r="H253" s="962"/>
      <c r="I253" s="963"/>
      <c r="J253" s="964"/>
      <c r="K253" s="964">
        <v>25</v>
      </c>
      <c r="L253" s="962">
        <v>0</v>
      </c>
      <c r="M253" s="965" t="s">
        <v>412</v>
      </c>
      <c r="N253" s="966">
        <v>150.09</v>
      </c>
      <c r="O253" s="967"/>
      <c r="P253" s="958"/>
      <c r="Q253" s="958"/>
      <c r="R253" s="94"/>
      <c r="S253" s="94"/>
      <c r="T253" s="94"/>
      <c r="U253" s="94"/>
      <c r="V253" s="94"/>
      <c r="W253" s="94"/>
      <c r="X253" s="94"/>
      <c r="Y253" s="94"/>
      <c r="Z253" s="94"/>
      <c r="AA253" s="24"/>
      <c r="AB253" s="24"/>
      <c r="AC253" s="24"/>
      <c r="AD253" s="24"/>
      <c r="AE253" s="24"/>
      <c r="AF253" s="24"/>
      <c r="AG253" s="24"/>
      <c r="AH253" s="24"/>
    </row>
    <row r="254" spans="1:34">
      <c r="A254" s="957"/>
      <c r="B254" s="958">
        <v>233</v>
      </c>
      <c r="C254" s="959" t="s">
        <v>413</v>
      </c>
      <c r="D254" s="958">
        <v>-2</v>
      </c>
      <c r="E254" s="958">
        <v>3.22</v>
      </c>
      <c r="F254" s="960">
        <v>4.82</v>
      </c>
      <c r="G254" s="961"/>
      <c r="H254" s="962"/>
      <c r="I254" s="963"/>
      <c r="J254" s="964"/>
      <c r="K254" s="964">
        <v>25</v>
      </c>
      <c r="L254" s="962">
        <v>0</v>
      </c>
      <c r="M254" s="965" t="s">
        <v>412</v>
      </c>
      <c r="N254" s="966">
        <v>150.09</v>
      </c>
      <c r="O254" s="967"/>
      <c r="P254" s="958"/>
      <c r="Q254" s="958"/>
      <c r="R254" s="94"/>
      <c r="S254" s="94"/>
      <c r="T254" s="94"/>
      <c r="U254" s="94"/>
      <c r="V254" s="94"/>
      <c r="W254" s="94"/>
      <c r="X254" s="94"/>
      <c r="Y254" s="94"/>
      <c r="Z254" s="94"/>
      <c r="AA254" s="24"/>
      <c r="AB254" s="24"/>
      <c r="AC254" s="24"/>
      <c r="AD254" s="24"/>
      <c r="AE254" s="24"/>
      <c r="AF254" s="24"/>
      <c r="AG254" s="24"/>
      <c r="AH254" s="24"/>
    </row>
    <row r="255" spans="1:34">
      <c r="A255" s="957"/>
      <c r="B255" s="958">
        <v>234</v>
      </c>
      <c r="C255" s="959" t="s">
        <v>96</v>
      </c>
      <c r="D255" s="958">
        <v>-1</v>
      </c>
      <c r="E255" s="958">
        <v>3.51</v>
      </c>
      <c r="F255" s="960"/>
      <c r="G255" s="961"/>
      <c r="H255" s="962"/>
      <c r="I255" s="963"/>
      <c r="J255" s="964"/>
      <c r="K255" s="964">
        <v>25</v>
      </c>
      <c r="L255" s="962">
        <v>0</v>
      </c>
      <c r="M255" s="965" t="s">
        <v>93</v>
      </c>
      <c r="N255" s="966"/>
      <c r="O255" s="967"/>
      <c r="P255" s="958"/>
      <c r="Q255" s="958"/>
      <c r="R255" s="94"/>
      <c r="S255" s="94"/>
      <c r="T255" s="94"/>
      <c r="U255" s="94"/>
      <c r="V255" s="94"/>
      <c r="W255" s="94"/>
      <c r="X255" s="94"/>
      <c r="Y255" s="94"/>
      <c r="Z255" s="94"/>
      <c r="AA255" s="24"/>
      <c r="AB255" s="24"/>
      <c r="AC255" s="24"/>
      <c r="AD255" s="24"/>
      <c r="AE255" s="24"/>
      <c r="AF255" s="24"/>
      <c r="AG255" s="24"/>
      <c r="AH255" s="24"/>
    </row>
    <row r="256" spans="1:34">
      <c r="A256" s="957"/>
      <c r="B256" s="958">
        <v>235</v>
      </c>
      <c r="C256" s="959" t="s">
        <v>382</v>
      </c>
      <c r="D256" s="958">
        <v>0</v>
      </c>
      <c r="E256" s="958">
        <v>2.44</v>
      </c>
      <c r="F256" s="960"/>
      <c r="G256" s="961"/>
      <c r="H256" s="962"/>
      <c r="I256" s="963"/>
      <c r="J256" s="964"/>
      <c r="K256" s="964">
        <v>20</v>
      </c>
      <c r="L256" s="962">
        <v>0</v>
      </c>
      <c r="M256" s="965" t="s">
        <v>381</v>
      </c>
      <c r="N256" s="966"/>
      <c r="O256" s="967"/>
      <c r="P256" s="958"/>
      <c r="Q256" s="958"/>
      <c r="R256" s="94"/>
      <c r="S256" s="94"/>
      <c r="T256" s="94"/>
      <c r="U256" s="94"/>
      <c r="V256" s="94"/>
      <c r="W256" s="94"/>
      <c r="X256" s="94"/>
      <c r="Y256" s="94"/>
      <c r="Z256" s="94"/>
      <c r="AA256" s="24"/>
      <c r="AB256" s="24"/>
      <c r="AC256" s="24"/>
      <c r="AD256" s="24"/>
      <c r="AE256" s="24"/>
      <c r="AF256" s="24"/>
      <c r="AG256" s="24"/>
      <c r="AH256" s="24"/>
    </row>
    <row r="257" spans="1:34">
      <c r="A257" s="957"/>
      <c r="B257" s="958">
        <v>236</v>
      </c>
      <c r="C257" s="959" t="s">
        <v>374</v>
      </c>
      <c r="D257" s="958">
        <v>-1</v>
      </c>
      <c r="E257" s="958">
        <v>3.33</v>
      </c>
      <c r="F257" s="960"/>
      <c r="G257" s="961"/>
      <c r="H257" s="962"/>
      <c r="I257" s="963"/>
      <c r="J257" s="964"/>
      <c r="K257" s="964">
        <v>25</v>
      </c>
      <c r="L257" s="962">
        <v>0</v>
      </c>
      <c r="M257" s="965" t="s">
        <v>373</v>
      </c>
      <c r="N257" s="966"/>
      <c r="O257" s="967"/>
      <c r="P257" s="958"/>
      <c r="Q257" s="958"/>
      <c r="R257" s="94"/>
      <c r="S257" s="94"/>
      <c r="T257" s="94"/>
      <c r="U257" s="94"/>
      <c r="V257" s="94"/>
      <c r="W257" s="94"/>
      <c r="X257" s="94"/>
      <c r="Y257" s="94"/>
      <c r="Z257" s="94"/>
      <c r="AA257" s="24"/>
      <c r="AB257" s="24"/>
      <c r="AC257" s="24"/>
      <c r="AD257" s="24"/>
      <c r="AE257" s="24"/>
      <c r="AF257" s="24"/>
      <c r="AG257" s="24"/>
      <c r="AH257" s="24"/>
    </row>
    <row r="258" spans="1:34">
      <c r="A258" s="957"/>
      <c r="B258" s="958">
        <v>237</v>
      </c>
      <c r="C258" s="959" t="s">
        <v>253</v>
      </c>
      <c r="D258" s="958">
        <v>-2</v>
      </c>
      <c r="E258" s="958">
        <v>0.6</v>
      </c>
      <c r="F258" s="960">
        <v>1.63</v>
      </c>
      <c r="G258" s="961"/>
      <c r="H258" s="962"/>
      <c r="I258" s="963"/>
      <c r="J258" s="964"/>
      <c r="K258" s="964">
        <v>25</v>
      </c>
      <c r="L258" s="962">
        <v>0</v>
      </c>
      <c r="M258" s="965" t="s">
        <v>254</v>
      </c>
      <c r="N258" s="966"/>
      <c r="O258" s="967"/>
      <c r="P258" s="958"/>
      <c r="Q258" s="958"/>
      <c r="R258" s="94"/>
      <c r="S258" s="94"/>
      <c r="T258" s="94"/>
      <c r="U258" s="94"/>
      <c r="V258" s="94"/>
      <c r="W258" s="94"/>
      <c r="X258" s="94"/>
      <c r="Y258" s="94"/>
      <c r="Z258" s="94"/>
      <c r="AA258" s="24"/>
      <c r="AB258" s="24"/>
      <c r="AC258" s="24"/>
      <c r="AD258" s="24"/>
      <c r="AE258" s="24"/>
      <c r="AF258" s="24"/>
      <c r="AG258" s="24"/>
      <c r="AH258" s="24"/>
    </row>
    <row r="259" spans="1:34">
      <c r="A259" s="957"/>
      <c r="B259" s="958">
        <v>238</v>
      </c>
      <c r="C259" s="959" t="s">
        <v>255</v>
      </c>
      <c r="D259" s="958">
        <v>-1</v>
      </c>
      <c r="E259" s="958">
        <v>2.0880000000000001</v>
      </c>
      <c r="F259" s="960">
        <v>9.1</v>
      </c>
      <c r="G259" s="961"/>
      <c r="H259" s="962"/>
      <c r="I259" s="963"/>
      <c r="J259" s="964"/>
      <c r="K259" s="964">
        <v>25</v>
      </c>
      <c r="L259" s="962">
        <v>0</v>
      </c>
      <c r="M259" s="965" t="s">
        <v>256</v>
      </c>
      <c r="N259" s="966">
        <v>119.12</v>
      </c>
      <c r="O259" s="967"/>
      <c r="P259" s="958"/>
      <c r="Q259" s="958"/>
      <c r="R259" s="94"/>
      <c r="S259" s="94"/>
      <c r="T259" s="94"/>
      <c r="U259" s="94"/>
      <c r="V259" s="94"/>
      <c r="W259" s="94"/>
      <c r="X259" s="94"/>
      <c r="Y259" s="94"/>
      <c r="Z259" s="94"/>
      <c r="AA259" s="24"/>
      <c r="AB259" s="24"/>
      <c r="AC259" s="24"/>
      <c r="AD259" s="24"/>
      <c r="AE259" s="24"/>
      <c r="AF259" s="24"/>
      <c r="AG259" s="24"/>
      <c r="AH259" s="24"/>
    </row>
    <row r="260" spans="1:34">
      <c r="A260" s="957"/>
      <c r="B260" s="958">
        <v>239</v>
      </c>
      <c r="C260" s="959" t="s">
        <v>102</v>
      </c>
      <c r="D260" s="958">
        <v>-1</v>
      </c>
      <c r="E260" s="958">
        <v>4.2699999999999996</v>
      </c>
      <c r="F260" s="960"/>
      <c r="G260" s="961"/>
      <c r="H260" s="962"/>
      <c r="I260" s="963"/>
      <c r="J260" s="964"/>
      <c r="K260" s="964">
        <v>25</v>
      </c>
      <c r="L260" s="962">
        <v>0</v>
      </c>
      <c r="M260" s="965" t="s">
        <v>99</v>
      </c>
      <c r="N260" s="966"/>
      <c r="O260" s="967"/>
      <c r="P260" s="958"/>
      <c r="Q260" s="958"/>
      <c r="R260" s="94"/>
      <c r="S260" s="94"/>
      <c r="T260" s="94"/>
      <c r="U260" s="94"/>
      <c r="V260" s="94"/>
      <c r="W260" s="94"/>
      <c r="X260" s="94"/>
      <c r="Y260" s="94"/>
      <c r="Z260" s="94"/>
      <c r="AA260" s="24"/>
      <c r="AB260" s="24"/>
      <c r="AC260" s="24"/>
      <c r="AD260" s="24"/>
      <c r="AE260" s="24"/>
      <c r="AF260" s="24"/>
      <c r="AG260" s="24"/>
      <c r="AH260" s="24"/>
    </row>
    <row r="261" spans="1:34">
      <c r="A261" s="957"/>
      <c r="B261" s="958">
        <v>240</v>
      </c>
      <c r="C261" s="959" t="s">
        <v>101</v>
      </c>
      <c r="D261" s="958">
        <v>-1</v>
      </c>
      <c r="E261" s="958">
        <v>3.91</v>
      </c>
      <c r="F261" s="960"/>
      <c r="G261" s="961"/>
      <c r="H261" s="962"/>
      <c r="I261" s="963"/>
      <c r="J261" s="964"/>
      <c r="K261" s="964">
        <v>25</v>
      </c>
      <c r="L261" s="962">
        <v>0</v>
      </c>
      <c r="M261" s="965" t="s">
        <v>99</v>
      </c>
      <c r="N261" s="966"/>
      <c r="O261" s="967"/>
      <c r="P261" s="958"/>
      <c r="Q261" s="958"/>
      <c r="R261" s="94"/>
      <c r="S261" s="94"/>
      <c r="T261" s="94"/>
      <c r="U261" s="94"/>
      <c r="V261" s="94"/>
      <c r="W261" s="94"/>
      <c r="X261" s="94"/>
      <c r="Y261" s="94"/>
      <c r="Z261" s="94"/>
      <c r="AA261" s="24"/>
      <c r="AB261" s="24"/>
      <c r="AC261" s="24"/>
      <c r="AD261" s="24"/>
      <c r="AE261" s="24"/>
      <c r="AF261" s="24"/>
      <c r="AG261" s="24"/>
      <c r="AH261" s="24"/>
    </row>
    <row r="262" spans="1:34">
      <c r="A262" s="957"/>
      <c r="B262" s="958">
        <v>241</v>
      </c>
      <c r="C262" s="959" t="s">
        <v>103</v>
      </c>
      <c r="D262" s="958">
        <v>-1</v>
      </c>
      <c r="E262" s="958">
        <v>4.3600000000000003</v>
      </c>
      <c r="F262" s="960"/>
      <c r="G262" s="961"/>
      <c r="H262" s="962"/>
      <c r="I262" s="963"/>
      <c r="J262" s="964"/>
      <c r="K262" s="964">
        <v>25</v>
      </c>
      <c r="L262" s="962">
        <v>0</v>
      </c>
      <c r="M262" s="965" t="s">
        <v>99</v>
      </c>
      <c r="N262" s="966"/>
      <c r="O262" s="967"/>
      <c r="P262" s="958"/>
      <c r="Q262" s="958"/>
      <c r="R262" s="94"/>
      <c r="S262" s="94"/>
      <c r="T262" s="94"/>
      <c r="U262" s="94"/>
      <c r="V262" s="94"/>
      <c r="W262" s="94"/>
      <c r="X262" s="94"/>
      <c r="Y262" s="94"/>
      <c r="Z262" s="94"/>
      <c r="AA262" s="24"/>
      <c r="AB262" s="24"/>
      <c r="AC262" s="24"/>
      <c r="AD262" s="24"/>
      <c r="AE262" s="24"/>
      <c r="AF262" s="24"/>
      <c r="AG262" s="24"/>
      <c r="AH262" s="24"/>
    </row>
    <row r="263" spans="1:34">
      <c r="A263" s="957"/>
      <c r="B263" s="958">
        <v>242</v>
      </c>
      <c r="C263" s="959" t="s">
        <v>257</v>
      </c>
      <c r="D263" s="958">
        <v>-1</v>
      </c>
      <c r="E263" s="958">
        <v>0.87</v>
      </c>
      <c r="F263" s="960"/>
      <c r="G263" s="961"/>
      <c r="H263" s="962"/>
      <c r="I263" s="963"/>
      <c r="J263" s="964"/>
      <c r="K263" s="964">
        <v>25</v>
      </c>
      <c r="L263" s="949">
        <v>0</v>
      </c>
      <c r="M263" s="965" t="s">
        <v>258</v>
      </c>
      <c r="N263" s="966"/>
      <c r="O263" s="967"/>
      <c r="P263" s="958"/>
      <c r="Q263" s="958"/>
      <c r="R263" s="94"/>
      <c r="S263" s="94"/>
      <c r="T263" s="94"/>
      <c r="U263" s="94"/>
      <c r="V263" s="94"/>
      <c r="W263" s="94"/>
      <c r="X263" s="94"/>
      <c r="Y263" s="94"/>
      <c r="Z263" s="94"/>
      <c r="AA263" s="24"/>
      <c r="AB263" s="24"/>
      <c r="AC263" s="24"/>
      <c r="AD263" s="24"/>
      <c r="AE263" s="24"/>
      <c r="AF263" s="24"/>
      <c r="AG263" s="24"/>
      <c r="AH263" s="24"/>
    </row>
    <row r="264" spans="1:34">
      <c r="A264" s="957"/>
      <c r="B264" s="958">
        <v>243</v>
      </c>
      <c r="C264" s="959" t="s">
        <v>259</v>
      </c>
      <c r="D264" s="958">
        <v>0</v>
      </c>
      <c r="E264" s="958">
        <v>7.7619999999999996</v>
      </c>
      <c r="F264" s="960"/>
      <c r="G264" s="961"/>
      <c r="H264" s="962"/>
      <c r="I264" s="963"/>
      <c r="J264" s="964"/>
      <c r="K264" s="964">
        <v>25</v>
      </c>
      <c r="L264" s="962">
        <v>0</v>
      </c>
      <c r="M264" s="965" t="s">
        <v>260</v>
      </c>
      <c r="N264" s="966"/>
      <c r="O264" s="967"/>
      <c r="P264" s="958"/>
      <c r="Q264" s="958"/>
      <c r="R264" s="94"/>
      <c r="S264" s="94"/>
      <c r="T264" s="94"/>
      <c r="U264" s="94"/>
      <c r="V264" s="94"/>
      <c r="W264" s="94"/>
      <c r="X264" s="94"/>
      <c r="Y264" s="94"/>
      <c r="Z264" s="94"/>
      <c r="AA264" s="24"/>
      <c r="AB264" s="24"/>
      <c r="AC264" s="24"/>
      <c r="AD264" s="24"/>
      <c r="AE264" s="24"/>
      <c r="AF264" s="24"/>
      <c r="AG264" s="24"/>
      <c r="AH264" s="24"/>
    </row>
    <row r="265" spans="1:34">
      <c r="A265" s="957"/>
      <c r="B265" s="958">
        <v>244</v>
      </c>
      <c r="C265" s="959" t="s">
        <v>261</v>
      </c>
      <c r="D265" s="958">
        <v>0</v>
      </c>
      <c r="E265" s="958">
        <v>10.715</v>
      </c>
      <c r="F265" s="960"/>
      <c r="G265" s="961"/>
      <c r="H265" s="962"/>
      <c r="I265" s="963"/>
      <c r="J265" s="964"/>
      <c r="K265" s="964">
        <v>25</v>
      </c>
      <c r="L265" s="962">
        <v>0</v>
      </c>
      <c r="M265" s="965" t="s">
        <v>262</v>
      </c>
      <c r="N265" s="966"/>
      <c r="O265" s="967"/>
      <c r="P265" s="958"/>
      <c r="Q265" s="958"/>
      <c r="R265" s="94"/>
      <c r="S265" s="94"/>
      <c r="T265" s="94"/>
      <c r="U265" s="94"/>
      <c r="V265" s="94"/>
      <c r="W265" s="94"/>
      <c r="X265" s="94"/>
      <c r="Y265" s="94"/>
      <c r="Z265" s="94"/>
      <c r="AA265" s="24"/>
      <c r="AB265" s="24"/>
      <c r="AC265" s="24"/>
      <c r="AD265" s="24"/>
      <c r="AE265" s="24"/>
      <c r="AF265" s="24"/>
      <c r="AG265" s="24"/>
      <c r="AH265" s="24"/>
    </row>
    <row r="266" spans="1:34">
      <c r="A266" s="957"/>
      <c r="B266" s="958">
        <v>245</v>
      </c>
      <c r="C266" s="959" t="s">
        <v>451</v>
      </c>
      <c r="D266" s="958">
        <v>-1</v>
      </c>
      <c r="E266" s="958">
        <v>5.03</v>
      </c>
      <c r="F266" s="960"/>
      <c r="G266" s="961"/>
      <c r="H266" s="962"/>
      <c r="I266" s="963"/>
      <c r="J266" s="964"/>
      <c r="K266" s="964">
        <v>25</v>
      </c>
      <c r="L266" s="962">
        <v>0</v>
      </c>
      <c r="M266" s="965" t="s">
        <v>447</v>
      </c>
      <c r="N266" s="966"/>
      <c r="O266" s="967"/>
      <c r="P266" s="958"/>
      <c r="Q266" s="958"/>
      <c r="R266" s="94"/>
      <c r="S266" s="94"/>
      <c r="T266" s="94"/>
      <c r="U266" s="94"/>
      <c r="V266" s="94"/>
      <c r="W266" s="94"/>
      <c r="X266" s="94"/>
      <c r="Y266" s="94"/>
      <c r="Z266" s="94"/>
      <c r="AA266" s="24"/>
      <c r="AB266" s="24"/>
      <c r="AC266" s="24"/>
      <c r="AD266" s="24"/>
      <c r="AE266" s="24"/>
      <c r="AF266" s="24"/>
      <c r="AG266" s="24"/>
      <c r="AH266" s="24"/>
    </row>
    <row r="267" spans="1:34">
      <c r="A267" s="957"/>
      <c r="B267" s="958">
        <v>246</v>
      </c>
      <c r="C267" s="959" t="s">
        <v>263</v>
      </c>
      <c r="D267" s="958">
        <v>0</v>
      </c>
      <c r="E267" s="958">
        <v>9.8000000000000007</v>
      </c>
      <c r="F267" s="960"/>
      <c r="G267" s="961"/>
      <c r="H267" s="962"/>
      <c r="I267" s="963"/>
      <c r="J267" s="964"/>
      <c r="K267" s="964">
        <v>25</v>
      </c>
      <c r="L267" s="962">
        <v>0</v>
      </c>
      <c r="M267" s="965" t="s">
        <v>264</v>
      </c>
      <c r="N267" s="966"/>
      <c r="O267" s="967"/>
      <c r="P267" s="958"/>
      <c r="Q267" s="958"/>
      <c r="R267" s="94"/>
      <c r="S267" s="94"/>
      <c r="T267" s="94"/>
      <c r="U267" s="94"/>
      <c r="V267" s="94"/>
      <c r="W267" s="94"/>
      <c r="X267" s="94"/>
      <c r="Y267" s="94"/>
      <c r="Z267" s="94"/>
      <c r="AA267" s="24"/>
      <c r="AB267" s="24"/>
      <c r="AC267" s="24"/>
      <c r="AD267" s="24"/>
      <c r="AE267" s="24"/>
      <c r="AF267" s="24"/>
      <c r="AG267" s="24"/>
      <c r="AH267" s="24"/>
    </row>
    <row r="268" spans="1:34">
      <c r="A268" s="957"/>
      <c r="B268" s="958">
        <v>247</v>
      </c>
      <c r="C268" s="959" t="s">
        <v>265</v>
      </c>
      <c r="D268" s="958">
        <v>0</v>
      </c>
      <c r="E268" s="958">
        <v>8.0749999999999993</v>
      </c>
      <c r="F268" s="960"/>
      <c r="G268" s="961"/>
      <c r="H268" s="962"/>
      <c r="I268" s="963"/>
      <c r="J268" s="964"/>
      <c r="K268" s="964">
        <v>25</v>
      </c>
      <c r="L268" s="962">
        <v>0</v>
      </c>
      <c r="M268" s="965" t="s">
        <v>266</v>
      </c>
      <c r="N268" s="966"/>
      <c r="O268" s="967"/>
      <c r="P268" s="958"/>
      <c r="Q268" s="958"/>
      <c r="R268" s="94"/>
      <c r="S268" s="94"/>
      <c r="T268" s="94"/>
      <c r="U268" s="94"/>
      <c r="V268" s="94"/>
      <c r="W268" s="94"/>
      <c r="X268" s="94"/>
      <c r="Y268" s="94"/>
      <c r="Z268" s="94"/>
      <c r="AA268" s="24"/>
      <c r="AB268" s="24"/>
      <c r="AC268" s="24"/>
      <c r="AD268" s="24"/>
      <c r="AE268" s="24"/>
      <c r="AF268" s="24"/>
      <c r="AG268" s="24"/>
      <c r="AH268" s="24"/>
    </row>
    <row r="269" spans="1:34">
      <c r="A269" s="957"/>
      <c r="B269" s="958">
        <v>248</v>
      </c>
      <c r="C269" s="959" t="s">
        <v>267</v>
      </c>
      <c r="D269" s="958">
        <v>-1</v>
      </c>
      <c r="E269" s="958">
        <v>2.35</v>
      </c>
      <c r="F269" s="960">
        <v>9.5399999999999991</v>
      </c>
      <c r="G269" s="961"/>
      <c r="H269" s="962"/>
      <c r="I269" s="963"/>
      <c r="J269" s="964"/>
      <c r="K269" s="964">
        <v>25</v>
      </c>
      <c r="L269" s="949">
        <v>0</v>
      </c>
      <c r="M269" s="965" t="s">
        <v>285</v>
      </c>
      <c r="N269" s="966"/>
      <c r="O269" s="967"/>
      <c r="P269" s="958"/>
      <c r="Q269" s="958"/>
      <c r="R269" s="94"/>
      <c r="S269" s="94"/>
      <c r="T269" s="94"/>
      <c r="U269" s="94"/>
      <c r="V269" s="94"/>
      <c r="W269" s="94"/>
      <c r="X269" s="94"/>
      <c r="Y269" s="94"/>
      <c r="Z269" s="94"/>
      <c r="AA269" s="24"/>
      <c r="AB269" s="24"/>
      <c r="AC269" s="24"/>
      <c r="AD269" s="24"/>
      <c r="AE269" s="24"/>
      <c r="AF269" s="24"/>
      <c r="AG269" s="24"/>
      <c r="AH269" s="24"/>
    </row>
    <row r="270" spans="1:34">
      <c r="A270" s="957"/>
      <c r="B270" s="958">
        <v>249</v>
      </c>
      <c r="C270" s="959" t="s">
        <v>112</v>
      </c>
      <c r="D270" s="958">
        <v>0</v>
      </c>
      <c r="E270" s="958">
        <v>9.74</v>
      </c>
      <c r="F270" s="960">
        <v>10.52</v>
      </c>
      <c r="G270" s="961"/>
      <c r="H270" s="962"/>
      <c r="I270" s="963"/>
      <c r="J270" s="964"/>
      <c r="K270" s="964">
        <v>25</v>
      </c>
      <c r="L270" s="962">
        <v>0</v>
      </c>
      <c r="M270" s="965" t="s">
        <v>108</v>
      </c>
      <c r="N270" s="966"/>
      <c r="O270" s="967"/>
      <c r="P270" s="958"/>
      <c r="Q270" s="958"/>
      <c r="R270" s="94"/>
      <c r="S270" s="94"/>
      <c r="T270" s="94"/>
      <c r="U270" s="94"/>
      <c r="V270" s="94"/>
      <c r="W270" s="94"/>
      <c r="X270" s="94"/>
      <c r="Y270" s="94"/>
      <c r="Z270" s="94"/>
      <c r="AA270" s="24"/>
      <c r="AB270" s="24"/>
      <c r="AC270" s="24"/>
      <c r="AD270" s="24"/>
      <c r="AE270" s="24"/>
      <c r="AF270" s="24"/>
      <c r="AG270" s="24"/>
      <c r="AH270" s="24"/>
    </row>
    <row r="271" spans="1:34">
      <c r="A271" s="957"/>
      <c r="B271" s="958">
        <v>250</v>
      </c>
      <c r="C271" s="959" t="s">
        <v>271</v>
      </c>
      <c r="D271" s="958">
        <v>-1</v>
      </c>
      <c r="E271" s="958">
        <v>2.17</v>
      </c>
      <c r="F271" s="960">
        <v>9.19</v>
      </c>
      <c r="G271" s="961">
        <v>10.47</v>
      </c>
      <c r="H271" s="962"/>
      <c r="I271" s="963"/>
      <c r="J271" s="964"/>
      <c r="K271" s="964">
        <v>25</v>
      </c>
      <c r="L271" s="962">
        <v>0</v>
      </c>
      <c r="M271" s="965" t="s">
        <v>270</v>
      </c>
      <c r="N271" s="966"/>
      <c r="O271" s="967"/>
      <c r="P271" s="958"/>
      <c r="Q271" s="958"/>
      <c r="R271" s="94"/>
      <c r="S271" s="94"/>
      <c r="T271" s="94"/>
      <c r="U271" s="94"/>
      <c r="V271" s="94"/>
      <c r="W271" s="94"/>
      <c r="X271" s="94"/>
      <c r="Y271" s="94"/>
      <c r="Z271" s="94"/>
      <c r="AA271" s="24"/>
      <c r="AB271" s="24"/>
      <c r="AC271" s="24"/>
      <c r="AD271" s="24"/>
      <c r="AE271" s="24"/>
      <c r="AF271" s="24"/>
      <c r="AG271" s="24"/>
      <c r="AH271" s="24"/>
    </row>
    <row r="272" spans="1:34">
      <c r="A272" s="957"/>
      <c r="B272" s="958">
        <v>251</v>
      </c>
      <c r="C272" s="959" t="s">
        <v>369</v>
      </c>
      <c r="D272" s="958">
        <v>0</v>
      </c>
      <c r="E272" s="958">
        <v>0.1</v>
      </c>
      <c r="F272" s="960"/>
      <c r="G272" s="961"/>
      <c r="H272" s="962"/>
      <c r="I272" s="963"/>
      <c r="J272" s="964"/>
      <c r="K272" s="964">
        <v>21</v>
      </c>
      <c r="L272" s="962">
        <v>0</v>
      </c>
      <c r="M272" s="965" t="s">
        <v>368</v>
      </c>
      <c r="N272" s="966"/>
      <c r="O272" s="967"/>
      <c r="P272" s="958"/>
      <c r="Q272" s="958"/>
      <c r="R272" s="94"/>
      <c r="S272" s="94"/>
      <c r="T272" s="94"/>
      <c r="U272" s="94"/>
      <c r="V272" s="94"/>
      <c r="W272" s="94"/>
      <c r="X272" s="94"/>
      <c r="Y272" s="94"/>
      <c r="Z272" s="94"/>
      <c r="AA272" s="24"/>
      <c r="AB272" s="24"/>
      <c r="AC272" s="24"/>
      <c r="AD272" s="24"/>
      <c r="AE272" s="24"/>
      <c r="AF272" s="24"/>
      <c r="AG272" s="24"/>
      <c r="AH272" s="24"/>
    </row>
    <row r="273" spans="1:34">
      <c r="A273" s="957"/>
      <c r="B273" s="958">
        <v>252</v>
      </c>
      <c r="C273" s="959" t="s">
        <v>438</v>
      </c>
      <c r="D273" s="958">
        <v>-1</v>
      </c>
      <c r="E273" s="958">
        <v>3.89</v>
      </c>
      <c r="F273" s="960"/>
      <c r="G273" s="961"/>
      <c r="H273" s="962"/>
      <c r="I273" s="963"/>
      <c r="J273" s="964"/>
      <c r="K273" s="964">
        <v>12</v>
      </c>
      <c r="L273" s="962">
        <v>0</v>
      </c>
      <c r="M273" s="965" t="s">
        <v>437</v>
      </c>
      <c r="N273" s="966"/>
      <c r="O273" s="967"/>
      <c r="P273" s="958"/>
      <c r="Q273" s="958"/>
      <c r="R273" s="94"/>
      <c r="S273" s="94"/>
      <c r="T273" s="94"/>
      <c r="U273" s="94"/>
      <c r="V273" s="94"/>
      <c r="W273" s="94"/>
      <c r="X273" s="94"/>
      <c r="Y273" s="94"/>
      <c r="Z273" s="94"/>
      <c r="AA273" s="24"/>
      <c r="AB273" s="24"/>
      <c r="AC273" s="24"/>
      <c r="AD273" s="24"/>
      <c r="AE273" s="24"/>
      <c r="AF273" s="24"/>
      <c r="AG273" s="24"/>
      <c r="AH273" s="24"/>
    </row>
    <row r="274" spans="1:34">
      <c r="A274" s="957"/>
      <c r="B274" s="958">
        <v>253</v>
      </c>
      <c r="C274" s="959" t="s">
        <v>455</v>
      </c>
      <c r="D274" s="958">
        <v>-1</v>
      </c>
      <c r="E274" s="958">
        <v>2.286</v>
      </c>
      <c r="F274" s="960">
        <v>9.718</v>
      </c>
      <c r="G274" s="961"/>
      <c r="H274" s="962"/>
      <c r="I274" s="963"/>
      <c r="J274" s="964"/>
      <c r="K274" s="964">
        <v>25</v>
      </c>
      <c r="L274" s="962">
        <v>0</v>
      </c>
      <c r="M274" s="965" t="s">
        <v>452</v>
      </c>
      <c r="N274" s="966"/>
      <c r="O274" s="967"/>
      <c r="P274" s="958"/>
      <c r="Q274" s="958"/>
      <c r="R274" s="94"/>
      <c r="S274" s="94"/>
      <c r="T274" s="94"/>
      <c r="U274" s="94"/>
      <c r="V274" s="94"/>
      <c r="W274" s="94"/>
      <c r="X274" s="94"/>
      <c r="Y274" s="94"/>
      <c r="Z274" s="94"/>
      <c r="AA274" s="24"/>
      <c r="AB274" s="24"/>
      <c r="AC274" s="24"/>
      <c r="AD274" s="24"/>
      <c r="AE274" s="24"/>
      <c r="AF274" s="24"/>
      <c r="AG274" s="24"/>
      <c r="AH274" s="24"/>
    </row>
    <row r="275" spans="1:34">
      <c r="A275" s="344"/>
      <c r="B275" s="354">
        <v>254</v>
      </c>
      <c r="C275" s="941" t="s">
        <v>979</v>
      </c>
      <c r="D275" s="938"/>
      <c r="E275" s="938"/>
      <c r="F275" s="939"/>
      <c r="G275" s="938"/>
      <c r="H275" s="938"/>
      <c r="I275" s="938"/>
      <c r="J275" s="938"/>
      <c r="K275" s="938"/>
      <c r="L275" s="938"/>
      <c r="M275" s="938"/>
      <c r="N275" s="938"/>
      <c r="O275" s="991" t="s">
        <v>972</v>
      </c>
      <c r="P275" s="992" t="s">
        <v>973</v>
      </c>
      <c r="Q275" s="992" t="s">
        <v>974</v>
      </c>
      <c r="R275" s="992" t="s">
        <v>975</v>
      </c>
      <c r="S275" s="97"/>
      <c r="T275" s="97"/>
      <c r="U275" s="97"/>
      <c r="V275" s="993" t="s">
        <v>976</v>
      </c>
      <c r="W275" s="993"/>
      <c r="X275" s="97"/>
      <c r="Y275" s="97"/>
      <c r="Z275" s="97"/>
      <c r="AA275" s="24"/>
    </row>
    <row r="276" spans="1:34" s="926" customFormat="1">
      <c r="A276" s="957"/>
      <c r="B276" s="958">
        <v>255</v>
      </c>
      <c r="C276" s="972" t="s">
        <v>963</v>
      </c>
      <c r="D276" s="958">
        <v>-2</v>
      </c>
      <c r="E276" s="958">
        <v>1.7</v>
      </c>
      <c r="F276" s="958">
        <v>8.9</v>
      </c>
      <c r="G276" s="958"/>
      <c r="H276" s="958"/>
      <c r="I276" s="958"/>
      <c r="J276" s="958"/>
      <c r="K276" s="958"/>
      <c r="L276" s="973"/>
      <c r="M276" s="973" t="s">
        <v>928</v>
      </c>
      <c r="N276" s="974">
        <v>466.59</v>
      </c>
      <c r="O276" s="958">
        <v>1.7</v>
      </c>
      <c r="P276" s="946">
        <v>5263615</v>
      </c>
      <c r="Q276" s="947">
        <v>4107000</v>
      </c>
      <c r="R276" s="948">
        <v>4907000</v>
      </c>
      <c r="S276" s="949"/>
      <c r="T276" s="949"/>
      <c r="U276" s="951" t="s">
        <v>977</v>
      </c>
      <c r="V276" s="950">
        <v>1701178</v>
      </c>
      <c r="W276" s="950">
        <v>8374896</v>
      </c>
      <c r="X276" s="950">
        <v>52377</v>
      </c>
      <c r="Y276" s="950">
        <v>7722000</v>
      </c>
      <c r="Z276" s="950">
        <v>1702000</v>
      </c>
      <c r="AA276" s="24"/>
    </row>
    <row r="277" spans="1:34" s="926" customFormat="1">
      <c r="A277" s="957"/>
      <c r="B277" s="958">
        <v>256</v>
      </c>
      <c r="C277" s="972" t="s">
        <v>964</v>
      </c>
      <c r="D277" s="958">
        <v>-2</v>
      </c>
      <c r="E277" s="958">
        <v>-1</v>
      </c>
      <c r="F277" s="958">
        <v>3.47</v>
      </c>
      <c r="G277" s="958"/>
      <c r="H277" s="958"/>
      <c r="I277" s="958"/>
      <c r="J277" s="958"/>
      <c r="K277" s="958"/>
      <c r="L277" s="973"/>
      <c r="M277" s="973" t="s">
        <v>929</v>
      </c>
      <c r="N277" s="974">
        <v>327.33</v>
      </c>
      <c r="O277" s="958">
        <v>3.47</v>
      </c>
      <c r="P277" s="946">
        <v>5263615</v>
      </c>
      <c r="Q277" s="947">
        <v>4961023</v>
      </c>
      <c r="R277" s="948">
        <v>4907000</v>
      </c>
      <c r="S277" s="949"/>
      <c r="T277" s="949"/>
      <c r="U277" s="951" t="s">
        <v>924</v>
      </c>
      <c r="V277" s="950">
        <v>16763955</v>
      </c>
      <c r="W277" s="950">
        <v>16750899</v>
      </c>
      <c r="X277" s="950">
        <v>15456000</v>
      </c>
      <c r="Y277" s="950"/>
      <c r="Z277" s="26"/>
      <c r="AA277" s="24"/>
    </row>
    <row r="278" spans="1:34">
      <c r="A278" s="957"/>
      <c r="B278" s="958">
        <v>257</v>
      </c>
      <c r="C278" s="972" t="s">
        <v>965</v>
      </c>
      <c r="D278" s="958">
        <v>-2</v>
      </c>
      <c r="E278" s="958">
        <v>-1</v>
      </c>
      <c r="F278" s="958">
        <v>4.8</v>
      </c>
      <c r="G278" s="958"/>
      <c r="H278" s="958"/>
      <c r="I278" s="958"/>
      <c r="J278" s="958"/>
      <c r="K278" s="958"/>
      <c r="L278" s="973"/>
      <c r="M278" s="973" t="s">
        <v>930</v>
      </c>
      <c r="N278" s="974">
        <v>698.01</v>
      </c>
      <c r="O278" s="958">
        <v>4.8</v>
      </c>
      <c r="P278" s="948">
        <v>4907000</v>
      </c>
      <c r="Q278" s="952">
        <v>52377</v>
      </c>
      <c r="R278" s="953">
        <v>16750899</v>
      </c>
      <c r="S278" s="945"/>
      <c r="T278" s="949"/>
      <c r="U278" s="951" t="s">
        <v>922</v>
      </c>
      <c r="V278" s="950">
        <v>7039480</v>
      </c>
      <c r="W278" s="950">
        <v>5263615</v>
      </c>
      <c r="X278" s="950">
        <v>14666000</v>
      </c>
      <c r="Y278" s="950"/>
      <c r="Z278" s="26"/>
      <c r="AA278" s="24"/>
    </row>
    <row r="279" spans="1:34">
      <c r="A279" s="957"/>
      <c r="B279" s="958">
        <v>258</v>
      </c>
      <c r="C279" s="972" t="s">
        <v>966</v>
      </c>
      <c r="D279" s="958">
        <v>-1</v>
      </c>
      <c r="E279" s="958">
        <v>5.0999999999999996</v>
      </c>
      <c r="F279" s="958"/>
      <c r="G279" s="958"/>
      <c r="H279" s="958"/>
      <c r="I279" s="958"/>
      <c r="J279" s="958"/>
      <c r="K279" s="958"/>
      <c r="L279" s="973"/>
      <c r="M279" s="973" t="s">
        <v>931</v>
      </c>
      <c r="N279" s="974">
        <v>269.3</v>
      </c>
      <c r="O279" s="958">
        <v>5.0999999999999996</v>
      </c>
      <c r="P279" s="946">
        <v>5263615</v>
      </c>
      <c r="Q279" s="947">
        <v>4961023</v>
      </c>
      <c r="R279" s="948">
        <v>4907000</v>
      </c>
      <c r="S279" s="945"/>
      <c r="T279" s="949"/>
      <c r="U279" s="951" t="s">
        <v>923</v>
      </c>
      <c r="V279" s="950">
        <v>4907000</v>
      </c>
      <c r="W279" s="950">
        <v>10285055</v>
      </c>
      <c r="X279" s="950">
        <v>3339000</v>
      </c>
      <c r="Y279" s="950">
        <v>60395</v>
      </c>
      <c r="Z279" s="26"/>
      <c r="AA279" s="24"/>
    </row>
    <row r="280" spans="1:34">
      <c r="A280" s="957"/>
      <c r="B280" s="958">
        <v>259</v>
      </c>
      <c r="C280" s="972" t="s">
        <v>967</v>
      </c>
      <c r="D280" s="958">
        <v>-1</v>
      </c>
      <c r="E280" s="958">
        <v>7.1</v>
      </c>
      <c r="F280" s="958"/>
      <c r="G280" s="958"/>
      <c r="H280" s="958"/>
      <c r="I280" s="958"/>
      <c r="J280" s="958"/>
      <c r="K280" s="958"/>
      <c r="L280" s="973"/>
      <c r="M280" s="973" t="s">
        <v>932</v>
      </c>
      <c r="N280" s="974">
        <v>624.38</v>
      </c>
      <c r="O280" s="958">
        <v>7.1</v>
      </c>
      <c r="P280" s="948">
        <v>4907000</v>
      </c>
      <c r="Q280" s="952">
        <v>6813000</v>
      </c>
      <c r="R280" s="953">
        <v>16750899</v>
      </c>
      <c r="S280" s="949"/>
      <c r="T280" s="949"/>
      <c r="U280" s="951" t="s">
        <v>978</v>
      </c>
      <c r="V280" s="950">
        <v>16777215</v>
      </c>
      <c r="W280" s="950"/>
      <c r="X280" s="950"/>
      <c r="Y280" s="950"/>
      <c r="Z280" s="26"/>
      <c r="AA280" s="24"/>
    </row>
    <row r="281" spans="1:34">
      <c r="A281" s="957"/>
      <c r="B281" s="958">
        <v>260</v>
      </c>
      <c r="C281" s="972" t="s">
        <v>968</v>
      </c>
      <c r="D281" s="958">
        <v>-2</v>
      </c>
      <c r="E281" s="958">
        <v>1.2</v>
      </c>
      <c r="F281" s="958">
        <v>7.7</v>
      </c>
      <c r="G281" s="958"/>
      <c r="H281" s="958"/>
      <c r="I281" s="958"/>
      <c r="J281" s="958"/>
      <c r="K281" s="958"/>
      <c r="L281" s="973"/>
      <c r="M281" s="973" t="s">
        <v>933</v>
      </c>
      <c r="N281" s="974">
        <v>354.38</v>
      </c>
      <c r="O281" s="958">
        <v>7.7</v>
      </c>
      <c r="P281" s="948">
        <v>4907000</v>
      </c>
      <c r="Q281" s="947">
        <v>4961023</v>
      </c>
      <c r="R281" s="946">
        <v>5263615</v>
      </c>
      <c r="S281" s="949"/>
      <c r="T281" s="26"/>
      <c r="U281" s="951" t="s">
        <v>934</v>
      </c>
      <c r="V281" s="950">
        <v>4961023</v>
      </c>
      <c r="W281" s="950"/>
      <c r="X281" s="950"/>
      <c r="Y281" s="950"/>
      <c r="Z281" s="26"/>
      <c r="AA281" s="24"/>
    </row>
    <row r="282" spans="1:34">
      <c r="A282" s="957"/>
      <c r="B282" s="958">
        <v>261</v>
      </c>
      <c r="C282" s="972" t="s">
        <v>969</v>
      </c>
      <c r="D282" s="958">
        <v>-2</v>
      </c>
      <c r="E282" s="958">
        <v>1.7</v>
      </c>
      <c r="F282" s="958">
        <v>8.9</v>
      </c>
      <c r="G282" s="958"/>
      <c r="H282" s="958"/>
      <c r="I282" s="958"/>
      <c r="J282" s="958"/>
      <c r="K282" s="958"/>
      <c r="L282" s="973"/>
      <c r="M282" s="973" t="s">
        <v>928</v>
      </c>
      <c r="N282" s="974">
        <v>466.59</v>
      </c>
      <c r="O282" s="958">
        <v>8.9</v>
      </c>
      <c r="P282" s="948">
        <v>4907000</v>
      </c>
      <c r="Q282" s="952">
        <v>52377</v>
      </c>
      <c r="R282" s="953">
        <v>16750899</v>
      </c>
      <c r="S282" s="949"/>
      <c r="T282" s="26"/>
      <c r="U282" s="26"/>
      <c r="V282" s="26"/>
      <c r="W282" s="26"/>
      <c r="X282" s="26"/>
      <c r="Y282" s="26"/>
      <c r="Z282" s="26"/>
      <c r="AA282" s="24"/>
    </row>
    <row r="283" spans="1:34">
      <c r="A283" s="957"/>
      <c r="B283" s="958">
        <v>262</v>
      </c>
      <c r="C283" s="959" t="s">
        <v>925</v>
      </c>
      <c r="D283" s="958">
        <v>-2</v>
      </c>
      <c r="E283" s="958">
        <v>9.5</v>
      </c>
      <c r="F283" s="958">
        <v>9.6999999999999993</v>
      </c>
      <c r="G283" s="958"/>
      <c r="H283" s="958"/>
      <c r="I283" s="958"/>
      <c r="J283" s="958"/>
      <c r="K283" s="958"/>
      <c r="L283" s="973"/>
      <c r="M283" s="973" t="s">
        <v>935</v>
      </c>
      <c r="N283" s="974">
        <v>318.32</v>
      </c>
      <c r="O283" s="958">
        <v>9.6999999999999993</v>
      </c>
      <c r="P283" s="954">
        <v>15395562</v>
      </c>
      <c r="Q283" s="955">
        <v>16564985</v>
      </c>
      <c r="R283" s="956">
        <v>16419572</v>
      </c>
      <c r="S283" s="949"/>
      <c r="T283" s="26"/>
      <c r="U283" s="26"/>
      <c r="V283" s="26"/>
      <c r="W283" s="26"/>
      <c r="X283" s="26"/>
      <c r="Y283" s="26"/>
      <c r="Z283" s="26"/>
      <c r="AA283" s="24"/>
    </row>
    <row r="284" spans="1:34">
      <c r="A284" s="957"/>
      <c r="B284" s="958">
        <v>263</v>
      </c>
      <c r="C284" s="972" t="s">
        <v>970</v>
      </c>
      <c r="D284" s="958">
        <v>-1</v>
      </c>
      <c r="E284" s="958">
        <v>11</v>
      </c>
      <c r="F284" s="958"/>
      <c r="G284" s="958"/>
      <c r="H284" s="958"/>
      <c r="I284" s="958"/>
      <c r="J284" s="958"/>
      <c r="K284" s="958"/>
      <c r="L284" s="973"/>
      <c r="M284" s="975" t="s">
        <v>971</v>
      </c>
      <c r="N284" s="974">
        <v>287.23</v>
      </c>
      <c r="O284" s="958">
        <v>11</v>
      </c>
      <c r="P284" s="948">
        <v>4907000</v>
      </c>
      <c r="Q284" s="947">
        <v>4961023</v>
      </c>
      <c r="R284" s="946">
        <v>5263615</v>
      </c>
      <c r="S284" s="26"/>
      <c r="T284" s="26"/>
      <c r="U284" s="26"/>
      <c r="V284" s="26"/>
      <c r="W284" s="26"/>
      <c r="X284" s="26"/>
      <c r="Y284" s="26"/>
      <c r="Z284" s="26"/>
      <c r="AA284" s="24"/>
    </row>
    <row r="285" spans="1:34">
      <c r="A285" s="957"/>
      <c r="B285" s="958">
        <v>264</v>
      </c>
      <c r="C285" s="958" t="s">
        <v>1165</v>
      </c>
      <c r="D285" s="958">
        <v>-2</v>
      </c>
      <c r="E285" s="958">
        <v>7.5</v>
      </c>
      <c r="F285" s="960">
        <v>9.5</v>
      </c>
      <c r="G285" s="961"/>
      <c r="H285" s="962"/>
      <c r="I285" s="963"/>
      <c r="J285" s="964"/>
      <c r="K285" s="964"/>
      <c r="L285" s="962"/>
      <c r="M285" s="965"/>
      <c r="N285" s="966"/>
      <c r="O285" s="967"/>
      <c r="P285" s="94"/>
      <c r="Q285" s="94"/>
      <c r="R285" s="94"/>
      <c r="S285" s="94"/>
      <c r="T285" s="94"/>
      <c r="U285" s="94"/>
      <c r="V285" s="94"/>
      <c r="W285" s="94"/>
      <c r="X285" s="94"/>
      <c r="Y285" s="94"/>
      <c r="Z285" s="94"/>
    </row>
    <row r="286" spans="1:34">
      <c r="A286" s="957"/>
      <c r="B286" s="958">
        <v>265</v>
      </c>
      <c r="C286" s="1326" t="s">
        <v>1166</v>
      </c>
      <c r="D286" s="958">
        <v>-2</v>
      </c>
      <c r="E286" s="958">
        <v>9.59</v>
      </c>
      <c r="F286" s="960">
        <v>10.199999999999999</v>
      </c>
      <c r="G286" s="961"/>
      <c r="H286" s="962"/>
      <c r="I286" s="963"/>
      <c r="J286" s="964"/>
      <c r="K286" s="964"/>
      <c r="L286" s="962"/>
      <c r="M286" s="965"/>
      <c r="N286" s="966"/>
      <c r="O286" s="967"/>
      <c r="P286" s="94"/>
      <c r="Q286" s="94"/>
      <c r="R286" s="94"/>
      <c r="S286" s="94"/>
      <c r="T286" s="94"/>
      <c r="U286" s="94"/>
      <c r="V286" s="94"/>
      <c r="W286" s="94"/>
      <c r="X286" s="94"/>
      <c r="Y286" s="94"/>
      <c r="Z286" s="94"/>
    </row>
    <row r="287" spans="1:34">
      <c r="A287" s="957"/>
      <c r="B287" s="958">
        <v>266</v>
      </c>
      <c r="C287" s="1326" t="s">
        <v>1167</v>
      </c>
      <c r="D287" s="958">
        <v>-1</v>
      </c>
      <c r="E287" s="958">
        <v>9.9939999999999998</v>
      </c>
      <c r="F287" s="960"/>
      <c r="G287" s="961"/>
      <c r="H287" s="962"/>
      <c r="I287" s="963"/>
      <c r="J287" s="964"/>
      <c r="K287" s="964"/>
      <c r="L287" s="962"/>
      <c r="M287" s="965"/>
      <c r="N287" s="966"/>
      <c r="O287" s="967"/>
      <c r="P287" s="94"/>
      <c r="Q287" s="94"/>
      <c r="R287" s="94"/>
      <c r="S287" s="94"/>
      <c r="T287" s="94"/>
      <c r="U287" s="94"/>
      <c r="V287" s="94"/>
      <c r="W287" s="94"/>
      <c r="X287" s="94"/>
      <c r="Y287" s="94"/>
      <c r="Z287" s="94"/>
    </row>
    <row r="288" spans="1:34">
      <c r="A288" s="957"/>
      <c r="B288" s="958">
        <v>267</v>
      </c>
      <c r="C288" s="958"/>
      <c r="D288" s="958"/>
      <c r="E288" s="958"/>
      <c r="F288" s="960"/>
      <c r="G288" s="961"/>
      <c r="H288" s="962"/>
      <c r="I288" s="963"/>
      <c r="J288" s="964"/>
      <c r="K288" s="964"/>
      <c r="L288" s="962"/>
      <c r="M288" s="965"/>
      <c r="N288" s="966"/>
      <c r="O288" s="967"/>
      <c r="P288" s="94"/>
      <c r="Q288" s="94"/>
      <c r="R288" s="94"/>
      <c r="S288" s="94"/>
      <c r="T288" s="94"/>
      <c r="U288" s="94"/>
      <c r="V288" s="94"/>
      <c r="W288" s="94"/>
      <c r="X288" s="94"/>
      <c r="Y288" s="94"/>
      <c r="Z288" s="94"/>
    </row>
    <row r="289" spans="1:26">
      <c r="A289" s="957"/>
      <c r="B289" s="958">
        <v>268</v>
      </c>
      <c r="C289" s="958"/>
      <c r="D289" s="958"/>
      <c r="E289" s="958"/>
      <c r="F289" s="960"/>
      <c r="G289" s="961"/>
      <c r="H289" s="962"/>
      <c r="I289" s="963"/>
      <c r="J289" s="964"/>
      <c r="K289" s="964"/>
      <c r="L289" s="962"/>
      <c r="M289" s="965"/>
      <c r="N289" s="966"/>
      <c r="O289" s="967"/>
      <c r="P289" s="94"/>
      <c r="Q289" s="94"/>
      <c r="R289" s="94"/>
      <c r="S289" s="94"/>
      <c r="T289" s="94"/>
      <c r="U289" s="94"/>
      <c r="V289" s="94"/>
      <c r="W289" s="94"/>
      <c r="X289" s="94"/>
      <c r="Y289" s="94"/>
      <c r="Z289" s="94"/>
    </row>
    <row r="290" spans="1:26">
      <c r="A290" s="957"/>
      <c r="B290" s="958">
        <v>269</v>
      </c>
      <c r="C290" s="958"/>
      <c r="D290" s="958"/>
      <c r="E290" s="958"/>
      <c r="F290" s="960"/>
      <c r="G290" s="961"/>
      <c r="H290" s="962"/>
      <c r="I290" s="963"/>
      <c r="J290" s="964"/>
      <c r="K290" s="964"/>
      <c r="L290" s="962"/>
      <c r="M290" s="965"/>
      <c r="N290" s="966"/>
      <c r="O290" s="967"/>
      <c r="P290" s="94"/>
      <c r="Q290" s="94"/>
      <c r="R290" s="94"/>
      <c r="S290" s="94"/>
      <c r="T290" s="94"/>
      <c r="U290" s="94"/>
      <c r="V290" s="94"/>
      <c r="W290" s="94"/>
      <c r="X290" s="94"/>
      <c r="Y290" s="94"/>
      <c r="Z290" s="94"/>
    </row>
    <row r="291" spans="1:26">
      <c r="A291" s="957"/>
      <c r="B291" s="958">
        <v>270</v>
      </c>
      <c r="C291" s="958"/>
      <c r="D291" s="958"/>
      <c r="E291" s="958"/>
      <c r="F291" s="960"/>
      <c r="G291" s="961"/>
      <c r="H291" s="962"/>
      <c r="I291" s="963"/>
      <c r="J291" s="964"/>
      <c r="K291" s="964"/>
      <c r="L291" s="962"/>
      <c r="M291" s="965"/>
      <c r="N291" s="966"/>
      <c r="O291" s="967"/>
      <c r="P291" s="94"/>
      <c r="Q291" s="94"/>
      <c r="R291" s="94"/>
      <c r="S291" s="94"/>
      <c r="T291" s="94"/>
      <c r="U291" s="94"/>
      <c r="V291" s="94"/>
      <c r="W291" s="94"/>
      <c r="X291" s="94"/>
      <c r="Y291" s="94"/>
      <c r="Z291" s="94"/>
    </row>
    <row r="292" spans="1:26">
      <c r="A292" s="957"/>
      <c r="B292" s="958">
        <v>271</v>
      </c>
      <c r="C292" s="958"/>
      <c r="D292" s="958"/>
      <c r="E292" s="958"/>
      <c r="F292" s="960"/>
      <c r="G292" s="961"/>
      <c r="H292" s="962"/>
      <c r="I292" s="963"/>
      <c r="J292" s="964"/>
      <c r="K292" s="964"/>
      <c r="L292" s="962"/>
      <c r="M292" s="965"/>
      <c r="N292" s="966"/>
      <c r="O292" s="967"/>
      <c r="P292" s="94"/>
      <c r="Q292" s="94"/>
      <c r="R292" s="94"/>
      <c r="S292" s="94"/>
      <c r="T292" s="94"/>
      <c r="U292" s="94"/>
      <c r="V292" s="94"/>
      <c r="W292" s="94"/>
      <c r="X292" s="94"/>
      <c r="Y292" s="94"/>
      <c r="Z292" s="94"/>
    </row>
    <row r="293" spans="1:26">
      <c r="A293" s="957"/>
      <c r="B293" s="958">
        <v>272</v>
      </c>
      <c r="C293" s="958"/>
      <c r="D293" s="958"/>
      <c r="E293" s="958"/>
      <c r="F293" s="960"/>
      <c r="G293" s="961"/>
      <c r="H293" s="962"/>
      <c r="I293" s="963"/>
      <c r="J293" s="964"/>
      <c r="K293" s="964"/>
      <c r="L293" s="962"/>
      <c r="M293" s="965"/>
      <c r="N293" s="966"/>
      <c r="O293" s="967"/>
      <c r="P293" s="94"/>
      <c r="Q293" s="94"/>
      <c r="R293" s="94"/>
      <c r="S293" s="94"/>
      <c r="T293" s="94"/>
      <c r="U293" s="94"/>
      <c r="V293" s="94"/>
      <c r="W293" s="94"/>
      <c r="X293" s="94"/>
      <c r="Y293" s="94"/>
      <c r="Z293" s="94"/>
    </row>
    <row r="294" spans="1:26">
      <c r="A294" s="957"/>
      <c r="B294" s="958">
        <v>273</v>
      </c>
      <c r="C294" s="959"/>
      <c r="D294" s="958"/>
      <c r="E294" s="958"/>
      <c r="F294" s="960"/>
      <c r="G294" s="961"/>
      <c r="H294" s="962"/>
      <c r="I294" s="963"/>
      <c r="J294" s="964"/>
      <c r="K294" s="964"/>
      <c r="L294" s="962"/>
      <c r="M294" s="965"/>
      <c r="N294" s="966"/>
      <c r="O294" s="967"/>
      <c r="P294" s="94"/>
      <c r="Q294" s="94"/>
      <c r="R294" s="94"/>
      <c r="S294" s="94"/>
      <c r="T294" s="94"/>
      <c r="U294" s="94"/>
      <c r="V294" s="94"/>
      <c r="W294" s="94"/>
      <c r="X294" s="94"/>
      <c r="Y294" s="94"/>
      <c r="Z294" s="94"/>
    </row>
    <row r="295" spans="1:26">
      <c r="A295" s="957"/>
      <c r="B295" s="958">
        <v>274</v>
      </c>
      <c r="C295" s="959"/>
      <c r="D295" s="958"/>
      <c r="E295" s="958"/>
      <c r="F295" s="960"/>
      <c r="G295" s="961"/>
      <c r="H295" s="962"/>
      <c r="I295" s="963"/>
      <c r="J295" s="964"/>
      <c r="K295" s="964"/>
      <c r="L295" s="962"/>
      <c r="M295" s="965"/>
      <c r="N295" s="966"/>
      <c r="O295" s="967"/>
      <c r="P295" s="94"/>
      <c r="Q295" s="94"/>
      <c r="R295" s="94"/>
      <c r="S295" s="94"/>
      <c r="T295" s="94"/>
      <c r="U295" s="94"/>
      <c r="V295" s="94"/>
      <c r="W295" s="94"/>
      <c r="X295" s="94"/>
      <c r="Y295" s="94"/>
      <c r="Z295" s="94"/>
    </row>
    <row r="296" spans="1:26">
      <c r="A296" s="957"/>
      <c r="B296" s="958">
        <v>275</v>
      </c>
      <c r="C296" s="959"/>
      <c r="D296" s="958"/>
      <c r="E296" s="958"/>
      <c r="F296" s="960"/>
      <c r="G296" s="961"/>
      <c r="H296" s="962"/>
      <c r="I296" s="963"/>
      <c r="J296" s="964"/>
      <c r="K296" s="964"/>
      <c r="L296" s="962"/>
      <c r="M296" s="965"/>
      <c r="N296" s="966"/>
      <c r="O296" s="967"/>
      <c r="P296" s="94"/>
      <c r="Q296" s="94"/>
      <c r="R296" s="94"/>
      <c r="S296" s="94"/>
      <c r="T296" s="94"/>
      <c r="U296" s="94"/>
      <c r="V296" s="94"/>
      <c r="W296" s="94"/>
      <c r="X296" s="94"/>
      <c r="Y296" s="94"/>
      <c r="Z296" s="94"/>
    </row>
    <row r="297" spans="1:26">
      <c r="A297" s="957"/>
      <c r="B297" s="958">
        <v>276</v>
      </c>
      <c r="C297" s="959"/>
      <c r="D297" s="958"/>
      <c r="E297" s="958"/>
      <c r="F297" s="960"/>
      <c r="G297" s="961"/>
      <c r="H297" s="962"/>
      <c r="I297" s="963"/>
      <c r="J297" s="964"/>
      <c r="K297" s="964"/>
      <c r="L297" s="962"/>
      <c r="M297" s="965"/>
      <c r="N297" s="966"/>
      <c r="O297" s="967"/>
      <c r="P297" s="94"/>
      <c r="Q297" s="94"/>
      <c r="R297" s="94"/>
      <c r="S297" s="94"/>
      <c r="T297" s="94"/>
      <c r="U297" s="94"/>
      <c r="V297" s="94"/>
      <c r="W297" s="94"/>
      <c r="X297" s="94"/>
      <c r="Y297" s="94"/>
      <c r="Z297" s="94"/>
    </row>
    <row r="298" spans="1:26">
      <c r="A298" s="957"/>
      <c r="B298" s="958">
        <v>277</v>
      </c>
      <c r="C298" s="959"/>
      <c r="D298" s="958"/>
      <c r="E298" s="958"/>
      <c r="F298" s="960"/>
      <c r="G298" s="961"/>
      <c r="H298" s="962"/>
      <c r="I298" s="963"/>
      <c r="J298" s="964"/>
      <c r="K298" s="964"/>
      <c r="L298" s="962"/>
      <c r="M298" s="965"/>
      <c r="N298" s="966"/>
      <c r="O298" s="967"/>
      <c r="P298" s="94"/>
      <c r="Q298" s="94"/>
      <c r="R298" s="94"/>
      <c r="S298" s="94"/>
      <c r="T298" s="94"/>
      <c r="U298" s="94"/>
      <c r="V298" s="94"/>
      <c r="W298" s="94"/>
      <c r="X298" s="94"/>
      <c r="Y298" s="94"/>
      <c r="Z298" s="94"/>
    </row>
    <row r="299" spans="1:26">
      <c r="A299" s="957"/>
      <c r="B299" s="958">
        <v>278</v>
      </c>
      <c r="C299" s="959"/>
      <c r="D299" s="958"/>
      <c r="E299" s="958"/>
      <c r="F299" s="960"/>
      <c r="G299" s="961"/>
      <c r="H299" s="962"/>
      <c r="I299" s="963"/>
      <c r="J299" s="964"/>
      <c r="K299" s="964"/>
      <c r="L299" s="962"/>
      <c r="M299" s="965"/>
      <c r="N299" s="966"/>
      <c r="O299" s="967"/>
      <c r="P299" s="94"/>
      <c r="Q299" s="94"/>
      <c r="R299" s="94"/>
      <c r="S299" s="94"/>
      <c r="T299" s="94"/>
      <c r="U299" s="94"/>
      <c r="V299" s="94"/>
      <c r="W299" s="94"/>
      <c r="X299" s="94"/>
      <c r="Y299" s="94"/>
      <c r="Z299" s="94"/>
    </row>
    <row r="300" spans="1:26">
      <c r="A300" s="957"/>
      <c r="B300" s="958">
        <v>279</v>
      </c>
      <c r="C300" s="959"/>
      <c r="D300" s="958"/>
      <c r="E300" s="958"/>
      <c r="F300" s="960"/>
      <c r="G300" s="961"/>
      <c r="H300" s="962"/>
      <c r="I300" s="963"/>
      <c r="J300" s="964"/>
      <c r="K300" s="964"/>
      <c r="L300" s="962"/>
      <c r="M300" s="965"/>
      <c r="N300" s="966"/>
      <c r="O300" s="967"/>
      <c r="P300" s="94"/>
      <c r="Q300" s="94"/>
      <c r="R300" s="94"/>
      <c r="S300" s="94"/>
      <c r="T300" s="94"/>
      <c r="U300" s="94"/>
      <c r="V300" s="94"/>
      <c r="W300" s="94"/>
      <c r="X300" s="94"/>
      <c r="Y300" s="94"/>
      <c r="Z300" s="94"/>
    </row>
    <row r="301" spans="1:26">
      <c r="A301" s="957"/>
      <c r="B301" s="958">
        <v>280</v>
      </c>
      <c r="C301" s="959"/>
      <c r="D301" s="958"/>
      <c r="E301" s="958"/>
      <c r="F301" s="960"/>
      <c r="G301" s="961"/>
      <c r="H301" s="962"/>
      <c r="I301" s="963"/>
      <c r="J301" s="964"/>
      <c r="K301" s="964"/>
      <c r="L301" s="962"/>
      <c r="M301" s="965"/>
      <c r="N301" s="966"/>
      <c r="O301" s="967"/>
      <c r="P301" s="94"/>
      <c r="Q301" s="94"/>
      <c r="R301" s="94"/>
      <c r="S301" s="94"/>
      <c r="T301" s="94"/>
      <c r="U301" s="94"/>
      <c r="V301" s="94"/>
      <c r="W301" s="94"/>
      <c r="X301" s="94"/>
      <c r="Y301" s="94"/>
      <c r="Z301" s="94"/>
    </row>
    <row r="302" spans="1:26">
      <c r="A302" s="957"/>
      <c r="B302" s="958"/>
      <c r="C302" s="959"/>
      <c r="D302" s="958"/>
      <c r="E302" s="958"/>
      <c r="F302" s="960"/>
      <c r="G302" s="961"/>
      <c r="H302" s="962"/>
      <c r="I302" s="963"/>
      <c r="J302" s="964"/>
      <c r="K302" s="964"/>
      <c r="L302" s="962"/>
      <c r="M302" s="965"/>
      <c r="N302" s="966"/>
      <c r="O302" s="967"/>
      <c r="P302" s="94"/>
      <c r="Q302" s="94"/>
      <c r="R302" s="94"/>
      <c r="S302" s="94"/>
      <c r="T302" s="94"/>
      <c r="U302" s="94"/>
      <c r="V302" s="94"/>
      <c r="W302" s="94"/>
      <c r="X302" s="94"/>
      <c r="Y302" s="94"/>
      <c r="Z302" s="94"/>
    </row>
  </sheetData>
  <phoneticPr fontId="0" type="noConversion"/>
  <hyperlinks>
    <hyperlink ref="H8" r:id="rId1" display="http://research.chem.psu.edu/brpgroup/pKa_compilation.pdf"/>
    <hyperlink ref="H9" r:id="rId2" display="http://www.zirchrom.com/organic.htm"/>
  </hyperlinks>
  <pageMargins left="0.78740157499999996" right="0.78740157499999996" top="0.984251969" bottom="0.984251969" header="0.49212598499999999" footer="0.49212598499999999"/>
  <pageSetup paperSize="9" orientation="portrait" r:id="rId3"/>
  <headerFooter alignWithMargins="0"/>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9</vt:i4>
      </vt:variant>
    </vt:vector>
  </HeadingPairs>
  <TitlesOfParts>
    <vt:vector size="9" baseType="lpstr">
      <vt:lpstr>CurTiPot</vt:lpstr>
      <vt:lpstr>   pH_calc   </vt:lpstr>
      <vt:lpstr>Titration</vt:lpstr>
      <vt:lpstr>Simulation</vt:lpstr>
      <vt:lpstr>Distribution</vt:lpstr>
      <vt:lpstr>Evaluation</vt:lpstr>
      <vt:lpstr>Regression</vt:lpstr>
      <vt:lpstr>Graphs</vt:lpstr>
      <vt:lpstr>Database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CurTiPot pH and Acid-Base Titration</dc:title>
  <dc:subject>Acid-Base Titration Simulation and Analysis and pH Calculation</dc:subject>
  <dc:creator>Ivano G. R. Gutz</dc:creator>
  <cp:keywords>Acid-Base, pH, virtual titration, potentiometry, titration, data analysis, chemical equilibrium, buffer</cp:keywords>
  <dc:description>CurTiPot for Excel</dc:description>
  <cp:lastModifiedBy>hp</cp:lastModifiedBy>
  <cp:lastPrinted>2005-11-22T11:34:38Z</cp:lastPrinted>
  <dcterms:created xsi:type="dcterms:W3CDTF">2005-03-13T00:29:18Z</dcterms:created>
  <dcterms:modified xsi:type="dcterms:W3CDTF">2020-03-30T17:31:34Z</dcterms:modified>
  <cp:category>Software (freeware)</cp:category>
</cp:coreProperties>
</file>